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 Trotter\Desktop\MSF-MRED\RE Financial Modeling\"/>
    </mc:Choice>
  </mc:AlternateContent>
  <xr:revisionPtr revIDLastSave="0" documentId="13_ncr:1_{1E7CD2A7-0974-4621-8549-460A8E8DF49C}" xr6:coauthVersionLast="47" xr6:coauthVersionMax="47" xr10:uidLastSave="{00000000-0000-0000-0000-000000000000}"/>
  <bookViews>
    <workbookView xWindow="-120" yWindow="-120" windowWidth="20730" windowHeight="11160" activeTab="3" xr2:uid="{A0DF9FE9-5FAA-4C7C-9228-0E14A8BE00CD}"/>
  </bookViews>
  <sheets>
    <sheet name="Cash Flow" sheetId="1" r:id="rId1"/>
    <sheet name="Development" sheetId="2" r:id="rId2"/>
    <sheet name="Operations" sheetId="3" r:id="rId3"/>
    <sheet name="Debt" sheetId="4" r:id="rId4"/>
    <sheet name="Waterfall (Single)" sheetId="5" r:id="rId5"/>
    <sheet name="Waterfall (Double)" sheetId="6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2" l="1"/>
  <c r="C24" i="2"/>
  <c r="C29" i="5"/>
  <c r="M13" i="3"/>
  <c r="C41" i="6"/>
  <c r="F29" i="6"/>
  <c r="F31" i="6" s="1"/>
  <c r="L60" i="6"/>
  <c r="K60" i="6"/>
  <c r="J60" i="6"/>
  <c r="I60" i="6"/>
  <c r="H60" i="6"/>
  <c r="C37" i="6"/>
  <c r="F20" i="6"/>
  <c r="F22" i="6" s="1"/>
  <c r="C15" i="6"/>
  <c r="C11" i="6"/>
  <c r="C16" i="6" s="1"/>
  <c r="L9" i="6"/>
  <c r="K9" i="6"/>
  <c r="J9" i="6"/>
  <c r="I9" i="6"/>
  <c r="H9" i="6"/>
  <c r="G9" i="6"/>
  <c r="G6" i="6"/>
  <c r="H6" i="6" s="1"/>
  <c r="I6" i="6" s="1"/>
  <c r="J6" i="6" s="1"/>
  <c r="K6" i="6" s="1"/>
  <c r="L6" i="6" s="1"/>
  <c r="A1" i="6"/>
  <c r="H11" i="6" l="1"/>
  <c r="H30" i="6" s="1"/>
  <c r="I11" i="6"/>
  <c r="I30" i="6" s="1"/>
  <c r="G11" i="6"/>
  <c r="G21" i="6" s="1"/>
  <c r="G10" i="6"/>
  <c r="I10" i="6"/>
  <c r="K10" i="6"/>
  <c r="K11" i="6"/>
  <c r="K45" i="6" s="1"/>
  <c r="J11" i="6"/>
  <c r="L11" i="6"/>
  <c r="L45" i="6" s="1"/>
  <c r="J10" i="6"/>
  <c r="L10" i="6"/>
  <c r="H10" i="6"/>
  <c r="I21" i="6" l="1"/>
  <c r="I45" i="6"/>
  <c r="H45" i="6"/>
  <c r="H21" i="6"/>
  <c r="G45" i="6"/>
  <c r="G30" i="6"/>
  <c r="K21" i="6"/>
  <c r="K30" i="6"/>
  <c r="L21" i="6"/>
  <c r="L30" i="6"/>
  <c r="J45" i="6"/>
  <c r="J30" i="6"/>
  <c r="J21" i="6"/>
  <c r="F19" i="5" l="1"/>
  <c r="H46" i="5"/>
  <c r="I46" i="5"/>
  <c r="J46" i="5"/>
  <c r="K46" i="5"/>
  <c r="L46" i="5"/>
  <c r="C14" i="5"/>
  <c r="G9" i="5"/>
  <c r="H9" i="5"/>
  <c r="I9" i="5"/>
  <c r="J9" i="5"/>
  <c r="K9" i="5"/>
  <c r="L9" i="5"/>
  <c r="C11" i="5"/>
  <c r="G6" i="5"/>
  <c r="H6" i="5" s="1"/>
  <c r="I6" i="5" s="1"/>
  <c r="J6" i="5" s="1"/>
  <c r="K6" i="5" s="1"/>
  <c r="L6" i="5" s="1"/>
  <c r="A1" i="5"/>
  <c r="G45" i="1"/>
  <c r="H43" i="4"/>
  <c r="G69" i="1"/>
  <c r="I69" i="1"/>
  <c r="J69" i="1"/>
  <c r="K69" i="1"/>
  <c r="L69" i="1"/>
  <c r="G70" i="1"/>
  <c r="H70" i="1"/>
  <c r="I70" i="1"/>
  <c r="J70" i="1"/>
  <c r="K70" i="1"/>
  <c r="F69" i="1"/>
  <c r="AD9" i="4"/>
  <c r="A1" i="4"/>
  <c r="A1" i="2"/>
  <c r="F70" i="1"/>
  <c r="F45" i="1"/>
  <c r="G39" i="4"/>
  <c r="H39" i="4" s="1"/>
  <c r="I39" i="4" s="1"/>
  <c r="J39" i="4" s="1"/>
  <c r="K39" i="4" s="1"/>
  <c r="L39" i="4" s="1"/>
  <c r="S6" i="4"/>
  <c r="T6" i="4"/>
  <c r="U6" i="4"/>
  <c r="V6" i="4"/>
  <c r="W6" i="4"/>
  <c r="X6" i="4"/>
  <c r="Y6" i="4"/>
  <c r="Z6" i="4"/>
  <c r="AA6" i="4"/>
  <c r="AB6" i="4"/>
  <c r="AC6" i="4"/>
  <c r="R6" i="4"/>
  <c r="AD6" i="4" s="1"/>
  <c r="F21" i="4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V6" i="2"/>
  <c r="W6" i="2"/>
  <c r="X6" i="2"/>
  <c r="Y6" i="2"/>
  <c r="Z6" i="2"/>
  <c r="AA6" i="2"/>
  <c r="AB6" i="2"/>
  <c r="AC6" i="2"/>
  <c r="AD6" i="2"/>
  <c r="AE6" i="2"/>
  <c r="AF6" i="2"/>
  <c r="U6" i="2"/>
  <c r="I8" i="2"/>
  <c r="I29" i="2"/>
  <c r="I28" i="2"/>
  <c r="I27" i="2"/>
  <c r="I26" i="2"/>
  <c r="C29" i="2"/>
  <c r="C27" i="2"/>
  <c r="C26" i="2"/>
  <c r="I12" i="2"/>
  <c r="I23" i="2"/>
  <c r="I22" i="2"/>
  <c r="I21" i="2"/>
  <c r="I20" i="2"/>
  <c r="I19" i="2"/>
  <c r="I18" i="2"/>
  <c r="I16" i="2"/>
  <c r="I15" i="2"/>
  <c r="I14" i="2"/>
  <c r="I13" i="2"/>
  <c r="C19" i="2"/>
  <c r="D17" i="2"/>
  <c r="C17" i="2" s="1"/>
  <c r="C23" i="2"/>
  <c r="C22" i="2"/>
  <c r="C21" i="2"/>
  <c r="C20" i="2"/>
  <c r="C18" i="2"/>
  <c r="C16" i="2"/>
  <c r="C15" i="2"/>
  <c r="C14" i="2"/>
  <c r="I10" i="2"/>
  <c r="D10" i="2"/>
  <c r="D13" i="2" s="1"/>
  <c r="C8" i="2"/>
  <c r="J5" i="2"/>
  <c r="K5" i="2" s="1"/>
  <c r="L5" i="2" s="1"/>
  <c r="M5" i="2" s="1"/>
  <c r="N5" i="2" s="1"/>
  <c r="O5" i="2" s="1"/>
  <c r="P5" i="2" s="1"/>
  <c r="Q5" i="2" s="1"/>
  <c r="Q8" i="2" s="1"/>
  <c r="L10" i="5" l="1"/>
  <c r="K10" i="5"/>
  <c r="I10" i="5"/>
  <c r="H10" i="5"/>
  <c r="H11" i="5"/>
  <c r="F21" i="5"/>
  <c r="L11" i="5"/>
  <c r="J10" i="5"/>
  <c r="G10" i="5"/>
  <c r="C15" i="5"/>
  <c r="K11" i="5"/>
  <c r="J11" i="5"/>
  <c r="I11" i="5"/>
  <c r="G11" i="5"/>
  <c r="F66" i="1"/>
  <c r="F87" i="1" s="1"/>
  <c r="I17" i="2"/>
  <c r="F23" i="4"/>
  <c r="K14" i="2"/>
  <c r="N27" i="2"/>
  <c r="O29" i="2"/>
  <c r="D12" i="2"/>
  <c r="O12" i="2" s="1"/>
  <c r="M14" i="2"/>
  <c r="Q15" i="2"/>
  <c r="J17" i="2"/>
  <c r="M18" i="2"/>
  <c r="Q19" i="2"/>
  <c r="J21" i="2"/>
  <c r="Q22" i="2"/>
  <c r="O26" i="2"/>
  <c r="O27" i="2"/>
  <c r="P28" i="2"/>
  <c r="P29" i="2"/>
  <c r="O15" i="2"/>
  <c r="K18" i="2"/>
  <c r="O19" i="2"/>
  <c r="M22" i="2"/>
  <c r="N26" i="2"/>
  <c r="N28" i="2"/>
  <c r="O14" i="2"/>
  <c r="K17" i="2"/>
  <c r="O18" i="2"/>
  <c r="K21" i="2"/>
  <c r="P26" i="2"/>
  <c r="P27" i="2"/>
  <c r="Q28" i="2"/>
  <c r="Q29" i="2"/>
  <c r="Q14" i="2"/>
  <c r="J16" i="2"/>
  <c r="M17" i="2"/>
  <c r="Q18" i="2"/>
  <c r="J20" i="2"/>
  <c r="M21" i="2"/>
  <c r="K23" i="2"/>
  <c r="Q26" i="2"/>
  <c r="Q27" i="2"/>
  <c r="I30" i="2"/>
  <c r="J29" i="2"/>
  <c r="K16" i="2"/>
  <c r="O17" i="2"/>
  <c r="K20" i="2"/>
  <c r="M23" i="2"/>
  <c r="J27" i="2"/>
  <c r="K29" i="2"/>
  <c r="Q21" i="2"/>
  <c r="J26" i="2"/>
  <c r="J28" i="2"/>
  <c r="Q13" i="2"/>
  <c r="J15" i="2"/>
  <c r="M16" i="2"/>
  <c r="Q17" i="2"/>
  <c r="J19" i="2"/>
  <c r="M20" i="2"/>
  <c r="Q23" i="2"/>
  <c r="K26" i="2"/>
  <c r="K27" i="2"/>
  <c r="K28" i="2"/>
  <c r="L29" i="2"/>
  <c r="K19" i="2"/>
  <c r="J22" i="2"/>
  <c r="Q12" i="2"/>
  <c r="L27" i="2"/>
  <c r="M29" i="2"/>
  <c r="K15" i="2"/>
  <c r="O16" i="2"/>
  <c r="O20" i="2"/>
  <c r="L26" i="2"/>
  <c r="L28" i="2"/>
  <c r="J14" i="2"/>
  <c r="M15" i="2"/>
  <c r="Q16" i="2"/>
  <c r="J18" i="2"/>
  <c r="M19" i="2"/>
  <c r="Q20" i="2"/>
  <c r="K22" i="2"/>
  <c r="M26" i="2"/>
  <c r="M27" i="2"/>
  <c r="M28" i="2"/>
  <c r="N29" i="2"/>
  <c r="J13" i="2"/>
  <c r="O13" i="2"/>
  <c r="K13" i="2"/>
  <c r="M13" i="2"/>
  <c r="L13" i="2"/>
  <c r="L14" i="2"/>
  <c r="L15" i="2"/>
  <c r="L16" i="2"/>
  <c r="L17" i="2"/>
  <c r="L18" i="2"/>
  <c r="L19" i="2"/>
  <c r="L20" i="2"/>
  <c r="L21" i="2"/>
  <c r="L22" i="2"/>
  <c r="L23" i="2"/>
  <c r="N13" i="2"/>
  <c r="N14" i="2"/>
  <c r="N15" i="2"/>
  <c r="N16" i="2"/>
  <c r="N17" i="2"/>
  <c r="N18" i="2"/>
  <c r="N19" i="2"/>
  <c r="N20" i="2"/>
  <c r="N21" i="2"/>
  <c r="N22" i="2"/>
  <c r="N23" i="2"/>
  <c r="O21" i="2"/>
  <c r="O22" i="2"/>
  <c r="O23" i="2"/>
  <c r="P13" i="2"/>
  <c r="P14" i="2"/>
  <c r="P15" i="2"/>
  <c r="P16" i="2"/>
  <c r="P17" i="2"/>
  <c r="P18" i="2"/>
  <c r="P19" i="2"/>
  <c r="P20" i="2"/>
  <c r="P21" i="2"/>
  <c r="P22" i="2"/>
  <c r="P23" i="2"/>
  <c r="I24" i="2"/>
  <c r="J23" i="2"/>
  <c r="P12" i="2"/>
  <c r="C13" i="2"/>
  <c r="J8" i="2"/>
  <c r="K8" i="2"/>
  <c r="L8" i="2"/>
  <c r="M8" i="2"/>
  <c r="N8" i="2"/>
  <c r="O8" i="2"/>
  <c r="P8" i="2"/>
  <c r="P10" i="2"/>
  <c r="K10" i="2"/>
  <c r="R5" i="2"/>
  <c r="Q10" i="2"/>
  <c r="O10" i="2"/>
  <c r="N10" i="2"/>
  <c r="M10" i="2"/>
  <c r="L10" i="2"/>
  <c r="J10" i="2"/>
  <c r="I20" i="5" l="1"/>
  <c r="I33" i="5"/>
  <c r="J20" i="5"/>
  <c r="J33" i="5"/>
  <c r="H20" i="5"/>
  <c r="H33" i="5"/>
  <c r="G20" i="5"/>
  <c r="G33" i="5"/>
  <c r="K20" i="5"/>
  <c r="K33" i="5"/>
  <c r="L20" i="5"/>
  <c r="L33" i="5"/>
  <c r="N30" i="2"/>
  <c r="N12" i="2"/>
  <c r="N24" i="2" s="1"/>
  <c r="I32" i="2"/>
  <c r="I34" i="2" s="1"/>
  <c r="I36" i="2" s="1"/>
  <c r="F9" i="4" s="1"/>
  <c r="J12" i="2"/>
  <c r="J24" i="2" s="1"/>
  <c r="L30" i="2"/>
  <c r="P30" i="2"/>
  <c r="O24" i="2"/>
  <c r="Q30" i="2"/>
  <c r="L12" i="2"/>
  <c r="L24" i="2" s="1"/>
  <c r="Q24" i="2"/>
  <c r="J30" i="2"/>
  <c r="R27" i="2"/>
  <c r="R26" i="2"/>
  <c r="R29" i="2"/>
  <c r="R28" i="2"/>
  <c r="K30" i="2"/>
  <c r="C12" i="2"/>
  <c r="D24" i="2"/>
  <c r="M12" i="2"/>
  <c r="M24" i="2" s="1"/>
  <c r="K12" i="2"/>
  <c r="K24" i="2" s="1"/>
  <c r="R8" i="2"/>
  <c r="R23" i="2"/>
  <c r="R22" i="2"/>
  <c r="R21" i="2"/>
  <c r="R20" i="2"/>
  <c r="R19" i="2"/>
  <c r="R18" i="2"/>
  <c r="R17" i="2"/>
  <c r="R16" i="2"/>
  <c r="R15" i="2"/>
  <c r="R14" i="2"/>
  <c r="R13" i="2"/>
  <c r="R12" i="2"/>
  <c r="P24" i="2"/>
  <c r="S5" i="2"/>
  <c r="R10" i="2"/>
  <c r="K32" i="2" l="1"/>
  <c r="K34" i="2" s="1"/>
  <c r="K36" i="2" s="1"/>
  <c r="H9" i="4" s="1"/>
  <c r="L32" i="2"/>
  <c r="L34" i="2" s="1"/>
  <c r="L36" i="2" s="1"/>
  <c r="I9" i="4" s="1"/>
  <c r="R30" i="2"/>
  <c r="Q32" i="2"/>
  <c r="Q34" i="2" s="1"/>
  <c r="Q36" i="2" s="1"/>
  <c r="N9" i="4" s="1"/>
  <c r="N32" i="2"/>
  <c r="N34" i="2" s="1"/>
  <c r="M32" i="2"/>
  <c r="S27" i="2"/>
  <c r="S26" i="2"/>
  <c r="S29" i="2"/>
  <c r="S28" i="2"/>
  <c r="D28" i="2"/>
  <c r="J32" i="2"/>
  <c r="P32" i="2"/>
  <c r="P34" i="2" s="1"/>
  <c r="R24" i="2"/>
  <c r="S8" i="2"/>
  <c r="S12" i="2"/>
  <c r="S14" i="2"/>
  <c r="S13" i="2"/>
  <c r="S23" i="2"/>
  <c r="S22" i="2"/>
  <c r="S21" i="2"/>
  <c r="S20" i="2"/>
  <c r="S19" i="2"/>
  <c r="S18" i="2"/>
  <c r="S17" i="2"/>
  <c r="S16" i="2"/>
  <c r="S15" i="2"/>
  <c r="T5" i="2"/>
  <c r="S10" i="2"/>
  <c r="R32" i="2" l="1"/>
  <c r="R34" i="2" s="1"/>
  <c r="R36" i="2" s="1"/>
  <c r="O9" i="4" s="1"/>
  <c r="N36" i="2"/>
  <c r="K9" i="4" s="1"/>
  <c r="S30" i="2"/>
  <c r="O28" i="2"/>
  <c r="C28" i="2"/>
  <c r="C30" i="2" s="1"/>
  <c r="D30" i="2"/>
  <c r="M34" i="2"/>
  <c r="M36" i="2" s="1"/>
  <c r="J9" i="4" s="1"/>
  <c r="J34" i="2"/>
  <c r="T27" i="2"/>
  <c r="T26" i="2"/>
  <c r="T29" i="2"/>
  <c r="T28" i="2"/>
  <c r="P36" i="2"/>
  <c r="M9" i="4" s="1"/>
  <c r="T8" i="2"/>
  <c r="F28" i="1" s="1"/>
  <c r="T12" i="2"/>
  <c r="T23" i="2"/>
  <c r="T22" i="2"/>
  <c r="T21" i="2"/>
  <c r="T20" i="2"/>
  <c r="T19" i="2"/>
  <c r="T18" i="2"/>
  <c r="T17" i="2"/>
  <c r="T16" i="2"/>
  <c r="T15" i="2"/>
  <c r="T14" i="2"/>
  <c r="T13" i="2"/>
  <c r="S24" i="2"/>
  <c r="U5" i="2"/>
  <c r="T10" i="2"/>
  <c r="S32" i="2" l="1"/>
  <c r="S34" i="2" s="1"/>
  <c r="S36" i="2" s="1"/>
  <c r="P9" i="4" s="1"/>
  <c r="J36" i="2"/>
  <c r="G9" i="4" s="1"/>
  <c r="U27" i="2"/>
  <c r="U26" i="2"/>
  <c r="U29" i="2"/>
  <c r="U28" i="2"/>
  <c r="D32" i="2"/>
  <c r="C32" i="2" s="1"/>
  <c r="T30" i="2"/>
  <c r="O30" i="2"/>
  <c r="U8" i="2"/>
  <c r="U17" i="2"/>
  <c r="U12" i="2"/>
  <c r="U13" i="2"/>
  <c r="U23" i="2"/>
  <c r="U22" i="2"/>
  <c r="U21" i="2"/>
  <c r="U20" i="2"/>
  <c r="U19" i="2"/>
  <c r="U18" i="2"/>
  <c r="U16" i="2"/>
  <c r="U15" i="2"/>
  <c r="U14" i="2"/>
  <c r="T24" i="2"/>
  <c r="V5" i="2"/>
  <c r="U10" i="2"/>
  <c r="F31" i="1" l="1"/>
  <c r="V29" i="2"/>
  <c r="V28" i="2"/>
  <c r="V27" i="2"/>
  <c r="V26" i="2"/>
  <c r="T32" i="2"/>
  <c r="T34" i="2" s="1"/>
  <c r="O32" i="2"/>
  <c r="U30" i="2"/>
  <c r="D34" i="2"/>
  <c r="C34" i="2" s="1"/>
  <c r="C36" i="2" s="1"/>
  <c r="V8" i="2"/>
  <c r="V12" i="2"/>
  <c r="V23" i="2"/>
  <c r="V22" i="2"/>
  <c r="V21" i="2"/>
  <c r="V20" i="2"/>
  <c r="V19" i="2"/>
  <c r="V18" i="2"/>
  <c r="V17" i="2"/>
  <c r="V16" i="2"/>
  <c r="V15" i="2"/>
  <c r="V14" i="2"/>
  <c r="V13" i="2"/>
  <c r="U24" i="2"/>
  <c r="W5" i="2"/>
  <c r="V10" i="2"/>
  <c r="F32" i="1" l="1"/>
  <c r="F60" i="6" s="1"/>
  <c r="D36" i="2"/>
  <c r="O34" i="2"/>
  <c r="O36" i="2" s="1"/>
  <c r="L9" i="4" s="1"/>
  <c r="T36" i="2"/>
  <c r="Q9" i="4" s="1"/>
  <c r="W29" i="2"/>
  <c r="W27" i="2"/>
  <c r="W26" i="2"/>
  <c r="W28" i="2"/>
  <c r="V30" i="2"/>
  <c r="U32" i="2"/>
  <c r="V24" i="2"/>
  <c r="W8" i="2"/>
  <c r="W12" i="2"/>
  <c r="W18" i="2"/>
  <c r="W23" i="2"/>
  <c r="W22" i="2"/>
  <c r="W21" i="2"/>
  <c r="W20" i="2"/>
  <c r="W19" i="2"/>
  <c r="W17" i="2"/>
  <c r="W16" i="2"/>
  <c r="W15" i="2"/>
  <c r="W14" i="2"/>
  <c r="W13" i="2"/>
  <c r="X5" i="2"/>
  <c r="W10" i="2"/>
  <c r="F46" i="5" l="1"/>
  <c r="F33" i="1"/>
  <c r="V32" i="2"/>
  <c r="V34" i="2" s="1"/>
  <c r="W30" i="2"/>
  <c r="X27" i="2"/>
  <c r="X26" i="2"/>
  <c r="X29" i="2"/>
  <c r="X28" i="2"/>
  <c r="U34" i="2"/>
  <c r="U36" i="2" s="1"/>
  <c r="R9" i="4" s="1"/>
  <c r="X8" i="2"/>
  <c r="X12" i="2"/>
  <c r="X23" i="2"/>
  <c r="X22" i="2"/>
  <c r="X21" i="2"/>
  <c r="X20" i="2"/>
  <c r="X19" i="2"/>
  <c r="X18" i="2"/>
  <c r="X17" i="2"/>
  <c r="X16" i="2"/>
  <c r="X15" i="2"/>
  <c r="X14" i="2"/>
  <c r="X13" i="2"/>
  <c r="W24" i="2"/>
  <c r="Y5" i="2"/>
  <c r="X10" i="2"/>
  <c r="W32" i="2" l="1"/>
  <c r="W34" i="2" s="1"/>
  <c r="V36" i="2"/>
  <c r="S9" i="4" s="1"/>
  <c r="X24" i="2"/>
  <c r="Y27" i="2"/>
  <c r="Y26" i="2"/>
  <c r="Y29" i="2"/>
  <c r="Y28" i="2"/>
  <c r="X30" i="2"/>
  <c r="Y8" i="2"/>
  <c r="Y20" i="2"/>
  <c r="Y23" i="2"/>
  <c r="Y22" i="2"/>
  <c r="Y21" i="2"/>
  <c r="Y15" i="2"/>
  <c r="Y18" i="2"/>
  <c r="Y12" i="2"/>
  <c r="Y19" i="2"/>
  <c r="Y17" i="2"/>
  <c r="Y16" i="2"/>
  <c r="Y14" i="2"/>
  <c r="Y13" i="2"/>
  <c r="Z5" i="2"/>
  <c r="Y10" i="2"/>
  <c r="W36" i="2" l="1"/>
  <c r="T9" i="4" s="1"/>
  <c r="X32" i="2"/>
  <c r="Z26" i="2"/>
  <c r="Z27" i="2"/>
  <c r="Z29" i="2"/>
  <c r="Z28" i="2"/>
  <c r="Y30" i="2"/>
  <c r="Z8" i="2"/>
  <c r="Z23" i="2"/>
  <c r="Z22" i="2"/>
  <c r="Z21" i="2"/>
  <c r="Z20" i="2"/>
  <c r="Z19" i="2"/>
  <c r="Z18" i="2"/>
  <c r="Z17" i="2"/>
  <c r="Z16" i="2"/>
  <c r="Z15" i="2"/>
  <c r="Z14" i="2"/>
  <c r="Z13" i="2"/>
  <c r="Z12" i="2"/>
  <c r="Y24" i="2"/>
  <c r="AA5" i="2"/>
  <c r="Z10" i="2"/>
  <c r="Y32" i="2" l="1"/>
  <c r="Y34" i="2" s="1"/>
  <c r="Y36" i="2" s="1"/>
  <c r="V9" i="4" s="1"/>
  <c r="AA27" i="2"/>
  <c r="AA26" i="2"/>
  <c r="AA29" i="2"/>
  <c r="AA28" i="2"/>
  <c r="Z30" i="2"/>
  <c r="X34" i="2"/>
  <c r="X36" i="2" s="1"/>
  <c r="U9" i="4" s="1"/>
  <c r="AA8" i="2"/>
  <c r="AA13" i="2"/>
  <c r="AA14" i="2"/>
  <c r="AA12" i="2"/>
  <c r="AA23" i="2"/>
  <c r="AA22" i="2"/>
  <c r="AA21" i="2"/>
  <c r="AA20" i="2"/>
  <c r="AA19" i="2"/>
  <c r="AA18" i="2"/>
  <c r="AA17" i="2"/>
  <c r="AA16" i="2"/>
  <c r="AA15" i="2"/>
  <c r="Z24" i="2"/>
  <c r="AB5" i="2"/>
  <c r="AA10" i="2"/>
  <c r="Z32" i="2" l="1"/>
  <c r="Z34" i="2" s="1"/>
  <c r="Z36" i="2" s="1"/>
  <c r="W9" i="4" s="1"/>
  <c r="AA30" i="2"/>
  <c r="AB27" i="2"/>
  <c r="AB26" i="2"/>
  <c r="AB29" i="2"/>
  <c r="AB28" i="2"/>
  <c r="AA24" i="2"/>
  <c r="AB8" i="2"/>
  <c r="AB12" i="2"/>
  <c r="AB23" i="2"/>
  <c r="AB22" i="2"/>
  <c r="AB21" i="2"/>
  <c r="AB20" i="2"/>
  <c r="AB19" i="2"/>
  <c r="AB18" i="2"/>
  <c r="AB17" i="2"/>
  <c r="AB16" i="2"/>
  <c r="AB15" i="2"/>
  <c r="AB14" i="2"/>
  <c r="AB13" i="2"/>
  <c r="AC5" i="2"/>
  <c r="AB10" i="2"/>
  <c r="AA32" i="2" l="1"/>
  <c r="AA34" i="2" s="1"/>
  <c r="AC27" i="2"/>
  <c r="AC26" i="2"/>
  <c r="AC29" i="2"/>
  <c r="AC28" i="2"/>
  <c r="AB30" i="2"/>
  <c r="AB24" i="2"/>
  <c r="AC8" i="2"/>
  <c r="AC12" i="2"/>
  <c r="AC16" i="2"/>
  <c r="AC23" i="2"/>
  <c r="AC20" i="2"/>
  <c r="AC19" i="2"/>
  <c r="AC17" i="2"/>
  <c r="AC14" i="2"/>
  <c r="AC22" i="2"/>
  <c r="AC21" i="2"/>
  <c r="AC18" i="2"/>
  <c r="AC15" i="2"/>
  <c r="AC13" i="2"/>
  <c r="AD5" i="2"/>
  <c r="AC10" i="2"/>
  <c r="AA36" i="2" l="1"/>
  <c r="X9" i="4" s="1"/>
  <c r="AC30" i="2"/>
  <c r="AB32" i="2"/>
  <c r="AD29" i="2"/>
  <c r="AD28" i="2"/>
  <c r="AD26" i="2"/>
  <c r="AD27" i="2"/>
  <c r="AD8" i="2"/>
  <c r="AD12" i="2"/>
  <c r="AD23" i="2"/>
  <c r="AD22" i="2"/>
  <c r="AD21" i="2"/>
  <c r="AD20" i="2"/>
  <c r="AD19" i="2"/>
  <c r="AD18" i="2"/>
  <c r="AD17" i="2"/>
  <c r="AD16" i="2"/>
  <c r="AD15" i="2"/>
  <c r="AD14" i="2"/>
  <c r="AD13" i="2"/>
  <c r="AC24" i="2"/>
  <c r="AE5" i="2"/>
  <c r="AD10" i="2"/>
  <c r="AD30" i="2" l="1"/>
  <c r="AE29" i="2"/>
  <c r="AE28" i="2"/>
  <c r="AE27" i="2"/>
  <c r="AE26" i="2"/>
  <c r="AC32" i="2"/>
  <c r="AB34" i="2"/>
  <c r="AB36" i="2" s="1"/>
  <c r="Y9" i="4" s="1"/>
  <c r="AE8" i="2"/>
  <c r="AE12" i="2"/>
  <c r="AE19" i="2"/>
  <c r="AE18" i="2"/>
  <c r="AE15" i="2"/>
  <c r="AE13" i="2"/>
  <c r="AE23" i="2"/>
  <c r="AE22" i="2"/>
  <c r="AE21" i="2"/>
  <c r="AE20" i="2"/>
  <c r="AE17" i="2"/>
  <c r="AE16" i="2"/>
  <c r="AE14" i="2"/>
  <c r="AD24" i="2"/>
  <c r="AF5" i="2"/>
  <c r="AE10" i="2"/>
  <c r="AD32" i="2" l="1"/>
  <c r="AD34" i="2" s="1"/>
  <c r="AE30" i="2"/>
  <c r="AF27" i="2"/>
  <c r="AH27" i="2" s="1"/>
  <c r="AF26" i="2"/>
  <c r="AH26" i="2" s="1"/>
  <c r="AF29" i="2"/>
  <c r="AH29" i="2" s="1"/>
  <c r="AF28" i="2"/>
  <c r="AC34" i="2"/>
  <c r="AC36" i="2" s="1"/>
  <c r="Z9" i="4" s="1"/>
  <c r="AF12" i="2"/>
  <c r="AF23" i="2"/>
  <c r="AH23" i="2" s="1"/>
  <c r="AF22" i="2"/>
  <c r="AH22" i="2" s="1"/>
  <c r="AF21" i="2"/>
  <c r="AH21" i="2" s="1"/>
  <c r="AF20" i="2"/>
  <c r="AH20" i="2" s="1"/>
  <c r="AF19" i="2"/>
  <c r="AH19" i="2" s="1"/>
  <c r="AF18" i="2"/>
  <c r="AH18" i="2" s="1"/>
  <c r="AF17" i="2"/>
  <c r="AH17" i="2" s="1"/>
  <c r="AF16" i="2"/>
  <c r="AH16" i="2" s="1"/>
  <c r="AF15" i="2"/>
  <c r="AH15" i="2" s="1"/>
  <c r="AF14" i="2"/>
  <c r="AH14" i="2" s="1"/>
  <c r="AF13" i="2"/>
  <c r="AH13" i="2" s="1"/>
  <c r="AE24" i="2"/>
  <c r="AF10" i="2"/>
  <c r="AF8" i="2"/>
  <c r="AH10" i="2" l="1"/>
  <c r="F29" i="1"/>
  <c r="AE32" i="2"/>
  <c r="AE34" i="2" s="1"/>
  <c r="AE36" i="2" s="1"/>
  <c r="AB9" i="4" s="1"/>
  <c r="AD36" i="2"/>
  <c r="AA9" i="4" s="1"/>
  <c r="AH8" i="2"/>
  <c r="AF30" i="2"/>
  <c r="AH28" i="2"/>
  <c r="AH30" i="2" s="1"/>
  <c r="AF24" i="2"/>
  <c r="F30" i="1" s="1"/>
  <c r="AH12" i="2"/>
  <c r="AH24" i="2" s="1"/>
  <c r="AF32" i="2" l="1"/>
  <c r="AH32" i="2" s="1"/>
  <c r="AF34" i="2" l="1"/>
  <c r="AH34" i="2" s="1"/>
  <c r="AF36" i="2" l="1"/>
  <c r="AH36" i="2" l="1"/>
  <c r="AC9" i="4"/>
  <c r="AF9" i="4" s="1"/>
  <c r="A1" i="3" l="1"/>
  <c r="I13" i="3"/>
  <c r="G7" i="3"/>
  <c r="H7" i="3" s="1"/>
  <c r="I7" i="3" s="1"/>
  <c r="J7" i="3" s="1"/>
  <c r="K7" i="3" s="1"/>
  <c r="L7" i="3" s="1"/>
  <c r="M7" i="3" s="1"/>
  <c r="I11" i="3"/>
  <c r="J11" i="3" s="1"/>
  <c r="J25" i="3" s="1"/>
  <c r="G91" i="1"/>
  <c r="H91" i="1"/>
  <c r="I91" i="1"/>
  <c r="J91" i="1"/>
  <c r="K91" i="1"/>
  <c r="F91" i="1"/>
  <c r="G90" i="1"/>
  <c r="H90" i="1"/>
  <c r="I90" i="1"/>
  <c r="J90" i="1"/>
  <c r="K90" i="1"/>
  <c r="F90" i="1"/>
  <c r="G89" i="1"/>
  <c r="F89" i="1"/>
  <c r="G88" i="1"/>
  <c r="I88" i="1"/>
  <c r="J88" i="1"/>
  <c r="K88" i="1"/>
  <c r="L88" i="1"/>
  <c r="F88" i="1"/>
  <c r="G86" i="1"/>
  <c r="H86" i="1"/>
  <c r="I86" i="1"/>
  <c r="J86" i="1"/>
  <c r="K86" i="1"/>
  <c r="L86" i="1"/>
  <c r="G78" i="1"/>
  <c r="H78" i="1"/>
  <c r="I78" i="1"/>
  <c r="J78" i="1"/>
  <c r="K78" i="1"/>
  <c r="F78" i="1"/>
  <c r="G77" i="1"/>
  <c r="F77" i="1"/>
  <c r="H76" i="1"/>
  <c r="I76" i="1"/>
  <c r="J76" i="1"/>
  <c r="K76" i="1"/>
  <c r="L76" i="1"/>
  <c r="I22" i="1"/>
  <c r="J22" i="1" s="1"/>
  <c r="K22" i="1" s="1"/>
  <c r="L22" i="1" s="1"/>
  <c r="F22" i="1"/>
  <c r="G21" i="1"/>
  <c r="H21" i="1" s="1"/>
  <c r="I21" i="1" s="1"/>
  <c r="J13" i="3" l="1"/>
  <c r="I29" i="3"/>
  <c r="I31" i="3"/>
  <c r="J21" i="1"/>
  <c r="I66" i="1"/>
  <c r="I87" i="1" s="1"/>
  <c r="I65" i="1"/>
  <c r="G28" i="1"/>
  <c r="G29" i="1"/>
  <c r="G30" i="1"/>
  <c r="G31" i="1"/>
  <c r="G32" i="1"/>
  <c r="G33" i="1"/>
  <c r="I34" i="3"/>
  <c r="J29" i="3"/>
  <c r="J32" i="3"/>
  <c r="I35" i="3"/>
  <c r="J30" i="3"/>
  <c r="J35" i="3"/>
  <c r="I32" i="3"/>
  <c r="J33" i="3"/>
  <c r="I30" i="3"/>
  <c r="J36" i="3"/>
  <c r="I33" i="3"/>
  <c r="I38" i="3"/>
  <c r="I36" i="3"/>
  <c r="J31" i="3"/>
  <c r="J38" i="3"/>
  <c r="J22" i="3"/>
  <c r="I24" i="3"/>
  <c r="I26" i="3"/>
  <c r="I23" i="3"/>
  <c r="J26" i="3"/>
  <c r="I22" i="3"/>
  <c r="J23" i="3"/>
  <c r="J24" i="3"/>
  <c r="I15" i="3"/>
  <c r="I18" i="3" s="1"/>
  <c r="O18" i="3" s="1"/>
  <c r="I25" i="3"/>
  <c r="K11" i="3"/>
  <c r="K15" i="3" s="1"/>
  <c r="J15" i="3"/>
  <c r="N28" i="1"/>
  <c r="G11" i="1" s="1"/>
  <c r="K13" i="3" l="1"/>
  <c r="J34" i="3"/>
  <c r="G60" i="6"/>
  <c r="G46" i="5"/>
  <c r="K21" i="1"/>
  <c r="J66" i="1"/>
  <c r="J87" i="1" s="1"/>
  <c r="J65" i="1"/>
  <c r="I20" i="3"/>
  <c r="I16" i="3"/>
  <c r="O16" i="3" s="1"/>
  <c r="L11" i="3"/>
  <c r="K23" i="3"/>
  <c r="K24" i="3"/>
  <c r="K26" i="3"/>
  <c r="K22" i="3"/>
  <c r="K25" i="3"/>
  <c r="J20" i="3"/>
  <c r="J17" i="3"/>
  <c r="J19" i="3"/>
  <c r="K20" i="3"/>
  <c r="K17" i="3"/>
  <c r="K19" i="3"/>
  <c r="N29" i="1"/>
  <c r="G12" i="1" s="1"/>
  <c r="L13" i="3" l="1"/>
  <c r="K29" i="3"/>
  <c r="K38" i="3"/>
  <c r="K34" i="3"/>
  <c r="K36" i="3"/>
  <c r="K31" i="3"/>
  <c r="K32" i="3"/>
  <c r="K30" i="3"/>
  <c r="K33" i="3"/>
  <c r="K35" i="3"/>
  <c r="L21" i="1"/>
  <c r="K66" i="1"/>
  <c r="K87" i="1" s="1"/>
  <c r="K65" i="1"/>
  <c r="I21" i="3"/>
  <c r="I27" i="3" s="1"/>
  <c r="H40" i="1" s="1"/>
  <c r="M11" i="3"/>
  <c r="L23" i="3"/>
  <c r="L26" i="3"/>
  <c r="L24" i="3"/>
  <c r="L25" i="3"/>
  <c r="L22" i="3"/>
  <c r="L15" i="3"/>
  <c r="J21" i="3"/>
  <c r="K21" i="3"/>
  <c r="K27" i="3" s="1"/>
  <c r="J40" i="1" s="1"/>
  <c r="N30" i="1"/>
  <c r="G13" i="1" s="1"/>
  <c r="L29" i="3" l="1"/>
  <c r="L36" i="3"/>
  <c r="L31" i="3"/>
  <c r="L32" i="3"/>
  <c r="L35" i="3"/>
  <c r="L38" i="3"/>
  <c r="L34" i="3"/>
  <c r="L30" i="3"/>
  <c r="L33" i="3"/>
  <c r="L66" i="1"/>
  <c r="L87" i="1" s="1"/>
  <c r="L65" i="1"/>
  <c r="I37" i="3"/>
  <c r="K37" i="3"/>
  <c r="K39" i="3" s="1"/>
  <c r="J41" i="1" s="1"/>
  <c r="L20" i="3"/>
  <c r="L17" i="3"/>
  <c r="L19" i="3"/>
  <c r="M15" i="3"/>
  <c r="M26" i="3"/>
  <c r="M22" i="3"/>
  <c r="O22" i="3" s="1"/>
  <c r="M24" i="3"/>
  <c r="O24" i="3" s="1"/>
  <c r="M23" i="3"/>
  <c r="O23" i="3" s="1"/>
  <c r="M25" i="3"/>
  <c r="O25" i="3" s="1"/>
  <c r="M32" i="3" l="1"/>
  <c r="O32" i="3" s="1"/>
  <c r="M35" i="3"/>
  <c r="O35" i="3" s="1"/>
  <c r="M30" i="3"/>
  <c r="O30" i="3" s="1"/>
  <c r="M33" i="3"/>
  <c r="O33" i="3" s="1"/>
  <c r="M29" i="3"/>
  <c r="O29" i="3" s="1"/>
  <c r="M36" i="3"/>
  <c r="O36" i="3" s="1"/>
  <c r="M38" i="3"/>
  <c r="O38" i="3" s="1"/>
  <c r="M34" i="3"/>
  <c r="O34" i="3" s="1"/>
  <c r="M31" i="3"/>
  <c r="O31" i="3" s="1"/>
  <c r="N32" i="1"/>
  <c r="G15" i="1" s="1"/>
  <c r="K42" i="3"/>
  <c r="K43" i="3" s="1"/>
  <c r="K40" i="3"/>
  <c r="M19" i="3"/>
  <c r="O19" i="3" s="1"/>
  <c r="M20" i="3"/>
  <c r="O20" i="3" s="1"/>
  <c r="M17" i="3"/>
  <c r="O15" i="3"/>
  <c r="L21" i="3"/>
  <c r="J27" i="3"/>
  <c r="I40" i="1" s="1"/>
  <c r="O26" i="3"/>
  <c r="I39" i="3"/>
  <c r="I40" i="3" l="1"/>
  <c r="H41" i="1"/>
  <c r="H43" i="1" s="1"/>
  <c r="H77" i="1" s="1"/>
  <c r="H79" i="1" s="1"/>
  <c r="G34" i="1"/>
  <c r="G76" i="1" s="1"/>
  <c r="G79" i="1" s="1"/>
  <c r="M21" i="3"/>
  <c r="M27" i="3" s="1"/>
  <c r="N31" i="1"/>
  <c r="G14" i="1" s="1"/>
  <c r="O17" i="3"/>
  <c r="J37" i="3"/>
  <c r="L27" i="3"/>
  <c r="K40" i="1" s="1"/>
  <c r="I42" i="3"/>
  <c r="I43" i="3" s="1"/>
  <c r="F34" i="1"/>
  <c r="M37" i="3" l="1"/>
  <c r="M39" i="3" s="1"/>
  <c r="L41" i="1" s="1"/>
  <c r="L40" i="1"/>
  <c r="N33" i="1"/>
  <c r="G16" i="1" s="1"/>
  <c r="G17" i="1" s="1"/>
  <c r="H80" i="1" s="1"/>
  <c r="O21" i="3"/>
  <c r="L37" i="3"/>
  <c r="L39" i="3" s="1"/>
  <c r="K41" i="1" s="1"/>
  <c r="O27" i="3"/>
  <c r="J39" i="3"/>
  <c r="N34" i="1"/>
  <c r="C12" i="1" s="1"/>
  <c r="F76" i="1"/>
  <c r="L43" i="1" l="1"/>
  <c r="L52" i="1" s="1"/>
  <c r="C16" i="4"/>
  <c r="G6" i="1" s="1"/>
  <c r="J40" i="3"/>
  <c r="I41" i="1"/>
  <c r="I43" i="1" s="1"/>
  <c r="M42" i="3"/>
  <c r="M43" i="3" s="1"/>
  <c r="O37" i="3"/>
  <c r="M40" i="3"/>
  <c r="G8" i="1"/>
  <c r="G80" i="1"/>
  <c r="F80" i="1"/>
  <c r="L42" i="3"/>
  <c r="L43" i="3" s="1"/>
  <c r="L40" i="3"/>
  <c r="J42" i="3"/>
  <c r="O39" i="3"/>
  <c r="C13" i="1"/>
  <c r="C14" i="1"/>
  <c r="N76" i="1"/>
  <c r="J11" i="1" s="1"/>
  <c r="F79" i="1"/>
  <c r="L77" i="1" l="1"/>
  <c r="G7" i="1"/>
  <c r="J43" i="3"/>
  <c r="C32" i="4"/>
  <c r="I77" i="1"/>
  <c r="C16" i="1"/>
  <c r="C31" i="4" s="1"/>
  <c r="O42" i="3"/>
  <c r="K43" i="1"/>
  <c r="K77" i="1" s="1"/>
  <c r="L80" i="1"/>
  <c r="N40" i="1"/>
  <c r="C17" i="1" l="1"/>
  <c r="C33" i="4"/>
  <c r="C18" i="1"/>
  <c r="F59" i="1"/>
  <c r="F10" i="4"/>
  <c r="F11" i="4" s="1"/>
  <c r="I79" i="1"/>
  <c r="I80" i="1"/>
  <c r="I81" i="1" s="1"/>
  <c r="I82" i="1" s="1"/>
  <c r="N41" i="1"/>
  <c r="J43" i="1"/>
  <c r="K80" i="1"/>
  <c r="K79" i="1"/>
  <c r="F9" i="6" l="1"/>
  <c r="F9" i="5"/>
  <c r="H44" i="4"/>
  <c r="H45" i="4" s="1"/>
  <c r="H45" i="1" s="1"/>
  <c r="H47" i="1" s="1"/>
  <c r="H89" i="1" s="1"/>
  <c r="J45" i="4"/>
  <c r="K45" i="4"/>
  <c r="K45" i="1" s="1"/>
  <c r="L45" i="4"/>
  <c r="L45" i="1" s="1"/>
  <c r="F86" i="1"/>
  <c r="N86" i="1" s="1"/>
  <c r="K11" i="1" s="1"/>
  <c r="N59" i="1"/>
  <c r="G10" i="4"/>
  <c r="F22" i="4"/>
  <c r="J77" i="1"/>
  <c r="N43" i="1"/>
  <c r="F11" i="6" l="1"/>
  <c r="F10" i="6"/>
  <c r="F11" i="5"/>
  <c r="F10" i="5"/>
  <c r="H69" i="1"/>
  <c r="H88" i="1" s="1"/>
  <c r="N88" i="1" s="1"/>
  <c r="H46" i="4"/>
  <c r="H47" i="4" s="1"/>
  <c r="H49" i="4" s="1"/>
  <c r="I43" i="4" s="1"/>
  <c r="I45" i="4" s="1"/>
  <c r="F92" i="1"/>
  <c r="F25" i="4"/>
  <c r="G21" i="4" s="1"/>
  <c r="G11" i="4"/>
  <c r="H10" i="4"/>
  <c r="J80" i="1"/>
  <c r="J79" i="1"/>
  <c r="N77" i="1"/>
  <c r="L47" i="1"/>
  <c r="L48" i="1"/>
  <c r="K47" i="1"/>
  <c r="K89" i="1" s="1"/>
  <c r="K48" i="1"/>
  <c r="F45" i="6" l="1"/>
  <c r="F30" i="6"/>
  <c r="F21" i="6"/>
  <c r="F20" i="5"/>
  <c r="F33" i="5"/>
  <c r="F14" i="6"/>
  <c r="F13" i="5"/>
  <c r="N69" i="1"/>
  <c r="I45" i="1"/>
  <c r="I46" i="4"/>
  <c r="J45" i="1"/>
  <c r="I10" i="4"/>
  <c r="I11" i="4" s="1"/>
  <c r="I22" i="4" s="1"/>
  <c r="H11" i="4"/>
  <c r="H22" i="4" s="1"/>
  <c r="G22" i="4"/>
  <c r="G23" i="4"/>
  <c r="K92" i="1"/>
  <c r="K93" i="1"/>
  <c r="L53" i="1"/>
  <c r="L54" i="1" s="1"/>
  <c r="L89" i="1"/>
  <c r="N52" i="1"/>
  <c r="K14" i="6" l="1"/>
  <c r="K13" i="5"/>
  <c r="F14" i="5"/>
  <c r="F41" i="5" s="1"/>
  <c r="F15" i="5"/>
  <c r="F16" i="6"/>
  <c r="F15" i="6"/>
  <c r="F54" i="6" s="1"/>
  <c r="J10" i="4"/>
  <c r="K10" i="4" s="1"/>
  <c r="K11" i="4" s="1"/>
  <c r="K22" i="4" s="1"/>
  <c r="I47" i="4"/>
  <c r="I49" i="4" s="1"/>
  <c r="J43" i="4" s="1"/>
  <c r="J46" i="4" s="1"/>
  <c r="J47" i="4" s="1"/>
  <c r="J49" i="4" s="1"/>
  <c r="K43" i="4" s="1"/>
  <c r="K46" i="4" s="1"/>
  <c r="K47" i="4" s="1"/>
  <c r="K49" i="4" s="1"/>
  <c r="L43" i="4" s="1"/>
  <c r="L46" i="4" s="1"/>
  <c r="L47" i="4" s="1"/>
  <c r="L48" i="4" s="1"/>
  <c r="I48" i="1"/>
  <c r="I47" i="1"/>
  <c r="I89" i="1" s="1"/>
  <c r="N45" i="1"/>
  <c r="J47" i="1"/>
  <c r="J48" i="1"/>
  <c r="G25" i="4"/>
  <c r="H21" i="4" s="1"/>
  <c r="N53" i="1"/>
  <c r="L93" i="1"/>
  <c r="L78" i="1"/>
  <c r="L90" i="1"/>
  <c r="N90" i="1" s="1"/>
  <c r="N54" i="1"/>
  <c r="K14" i="5" l="1"/>
  <c r="K41" i="5" s="1"/>
  <c r="K15" i="5"/>
  <c r="F22" i="5"/>
  <c r="F25" i="5" s="1"/>
  <c r="F23" i="6"/>
  <c r="K15" i="6"/>
  <c r="K54" i="6" s="1"/>
  <c r="K16" i="6"/>
  <c r="L10" i="4"/>
  <c r="M10" i="4" s="1"/>
  <c r="J11" i="4"/>
  <c r="J22" i="4" s="1"/>
  <c r="I93" i="1"/>
  <c r="I92" i="1"/>
  <c r="J89" i="1"/>
  <c r="N47" i="1"/>
  <c r="L70" i="1"/>
  <c r="N70" i="1" s="1"/>
  <c r="L49" i="4"/>
  <c r="H23" i="4"/>
  <c r="N78" i="1"/>
  <c r="C82" i="1" s="1"/>
  <c r="J14" i="1" s="1"/>
  <c r="L79" i="1"/>
  <c r="I14" i="6" l="1"/>
  <c r="I13" i="5"/>
  <c r="F46" i="6"/>
  <c r="F24" i="6"/>
  <c r="G20" i="6" s="1"/>
  <c r="F28" i="5"/>
  <c r="F35" i="5" s="1"/>
  <c r="F29" i="5"/>
  <c r="F42" i="5" s="1"/>
  <c r="F43" i="5" s="1"/>
  <c r="F34" i="5"/>
  <c r="F23" i="5"/>
  <c r="G19" i="5" s="1"/>
  <c r="F26" i="6"/>
  <c r="F32" i="6" s="1"/>
  <c r="L11" i="4"/>
  <c r="L22" i="4" s="1"/>
  <c r="J93" i="1"/>
  <c r="J92" i="1"/>
  <c r="N89" i="1"/>
  <c r="M11" i="4"/>
  <c r="M22" i="4" s="1"/>
  <c r="N10" i="4"/>
  <c r="H25" i="4"/>
  <c r="I21" i="4" s="1"/>
  <c r="N79" i="1"/>
  <c r="J12" i="1" s="1"/>
  <c r="C81" i="1"/>
  <c r="J13" i="1" s="1"/>
  <c r="F36" i="5" l="1"/>
  <c r="F33" i="6"/>
  <c r="G29" i="6" s="1"/>
  <c r="F35" i="6"/>
  <c r="F39" i="6"/>
  <c r="J14" i="6"/>
  <c r="J13" i="5"/>
  <c r="I14" i="5"/>
  <c r="I41" i="5" s="1"/>
  <c r="I15" i="5"/>
  <c r="G21" i="5"/>
  <c r="G22" i="6"/>
  <c r="I16" i="6"/>
  <c r="I15" i="6"/>
  <c r="I54" i="6" s="1"/>
  <c r="O10" i="4"/>
  <c r="N11" i="4"/>
  <c r="N22" i="4" s="1"/>
  <c r="I23" i="4"/>
  <c r="I25" i="4" s="1"/>
  <c r="J21" i="4" s="1"/>
  <c r="L91" i="1"/>
  <c r="F36" i="6" l="1"/>
  <c r="F47" i="6" s="1"/>
  <c r="F37" i="6"/>
  <c r="F55" i="6" s="1"/>
  <c r="J14" i="5"/>
  <c r="J41" i="5" s="1"/>
  <c r="J15" i="5"/>
  <c r="G31" i="6"/>
  <c r="J16" i="6"/>
  <c r="J15" i="6"/>
  <c r="J54" i="6" s="1"/>
  <c r="F40" i="6"/>
  <c r="F48" i="6" s="1"/>
  <c r="F41" i="6"/>
  <c r="F56" i="6" s="1"/>
  <c r="J23" i="4"/>
  <c r="J25" i="4" s="1"/>
  <c r="K21" i="4" s="1"/>
  <c r="P10" i="4"/>
  <c r="O11" i="4"/>
  <c r="O22" i="4" s="1"/>
  <c r="N91" i="1"/>
  <c r="L92" i="1"/>
  <c r="F57" i="6" l="1"/>
  <c r="F49" i="6"/>
  <c r="L14" i="6"/>
  <c r="L13" i="5"/>
  <c r="P11" i="4"/>
  <c r="P22" i="4" s="1"/>
  <c r="Q10" i="4"/>
  <c r="K23" i="4"/>
  <c r="K25" i="4" s="1"/>
  <c r="L21" i="4" s="1"/>
  <c r="L16" i="6" l="1"/>
  <c r="L15" i="6"/>
  <c r="L54" i="6" s="1"/>
  <c r="L14" i="5"/>
  <c r="L41" i="5" s="1"/>
  <c r="L15" i="5"/>
  <c r="L23" i="4"/>
  <c r="L25" i="4" s="1"/>
  <c r="M21" i="4" s="1"/>
  <c r="Q11" i="4"/>
  <c r="Q22" i="4" s="1"/>
  <c r="R10" i="4"/>
  <c r="R11" i="4" l="1"/>
  <c r="R22" i="4" s="1"/>
  <c r="S10" i="4"/>
  <c r="M23" i="4"/>
  <c r="M25" i="4" s="1"/>
  <c r="N21" i="4" s="1"/>
  <c r="N23" i="4" l="1"/>
  <c r="N25" i="4" s="1"/>
  <c r="O21" i="4" s="1"/>
  <c r="S11" i="4"/>
  <c r="S22" i="4" s="1"/>
  <c r="T10" i="4"/>
  <c r="O23" i="4" l="1"/>
  <c r="O25" i="4" s="1"/>
  <c r="P21" i="4" s="1"/>
  <c r="T11" i="4"/>
  <c r="T22" i="4" s="1"/>
  <c r="U10" i="4"/>
  <c r="P23" i="4" l="1"/>
  <c r="P25" i="4" s="1"/>
  <c r="Q21" i="4" s="1"/>
  <c r="U11" i="4"/>
  <c r="U22" i="4" s="1"/>
  <c r="V10" i="4"/>
  <c r="V11" i="4" l="1"/>
  <c r="V22" i="4" s="1"/>
  <c r="W10" i="4"/>
  <c r="Q23" i="4"/>
  <c r="Q25" i="4" s="1"/>
  <c r="R21" i="4" s="1"/>
  <c r="R23" i="4" l="1"/>
  <c r="R25" i="4" s="1"/>
  <c r="S21" i="4" s="1"/>
  <c r="W11" i="4"/>
  <c r="W22" i="4" s="1"/>
  <c r="X10" i="4"/>
  <c r="S23" i="4" l="1"/>
  <c r="S25" i="4" s="1"/>
  <c r="T21" i="4" s="1"/>
  <c r="X11" i="4"/>
  <c r="X22" i="4" s="1"/>
  <c r="Y10" i="4"/>
  <c r="Z10" i="4" l="1"/>
  <c r="Y11" i="4"/>
  <c r="Y22" i="4" s="1"/>
  <c r="T23" i="4"/>
  <c r="T25" i="4" s="1"/>
  <c r="U21" i="4" s="1"/>
  <c r="U23" i="4" s="1"/>
  <c r="U25" i="4" s="1"/>
  <c r="V21" i="4" s="1"/>
  <c r="V23" i="4" l="1"/>
  <c r="V25" i="4" s="1"/>
  <c r="W21" i="4" s="1"/>
  <c r="Z11" i="4"/>
  <c r="Z22" i="4" s="1"/>
  <c r="AA10" i="4"/>
  <c r="AA11" i="4" l="1"/>
  <c r="AA22" i="4" s="1"/>
  <c r="AB10" i="4"/>
  <c r="W23" i="4"/>
  <c r="W25" i="4" s="1"/>
  <c r="X21" i="4" s="1"/>
  <c r="X23" i="4" l="1"/>
  <c r="X25" i="4" s="1"/>
  <c r="Y21" i="4" s="1"/>
  <c r="AB11" i="4"/>
  <c r="AB22" i="4" s="1"/>
  <c r="AC10" i="4"/>
  <c r="AD10" i="4" s="1"/>
  <c r="AD11" i="4" s="1"/>
  <c r="AD22" i="4" l="1"/>
  <c r="H65" i="1" s="1"/>
  <c r="AF10" i="4"/>
  <c r="AC11" i="4"/>
  <c r="AF11" i="4" s="1"/>
  <c r="Y23" i="4"/>
  <c r="Y25" i="4" s="1"/>
  <c r="Z21" i="4" s="1"/>
  <c r="AC22" i="4" l="1"/>
  <c r="Z23" i="4"/>
  <c r="Z25" i="4" s="1"/>
  <c r="AA21" i="4" s="1"/>
  <c r="AF22" i="4" l="1"/>
  <c r="F65" i="1"/>
  <c r="G65" i="1"/>
  <c r="AA23" i="4"/>
  <c r="AA25" i="4" s="1"/>
  <c r="AB21" i="4" s="1"/>
  <c r="N65" i="1" l="1"/>
  <c r="AB23" i="4"/>
  <c r="AB25" i="4" s="1"/>
  <c r="AC21" i="4" s="1"/>
  <c r="AC23" i="4" l="1"/>
  <c r="G66" i="1" l="1"/>
  <c r="G87" i="1" l="1"/>
  <c r="AC25" i="4"/>
  <c r="AD21" i="4" s="1"/>
  <c r="AD23" i="4" l="1"/>
  <c r="AF23" i="4" s="1"/>
  <c r="G92" i="1"/>
  <c r="G14" i="6" l="1"/>
  <c r="G13" i="5"/>
  <c r="AD24" i="4"/>
  <c r="G14" i="5" l="1"/>
  <c r="G41" i="5" s="1"/>
  <c r="G15" i="5"/>
  <c r="G15" i="6"/>
  <c r="G54" i="6" s="1"/>
  <c r="G16" i="6"/>
  <c r="AD25" i="4"/>
  <c r="H66" i="1"/>
  <c r="G23" i="6" l="1"/>
  <c r="G26" i="6" s="1"/>
  <c r="G32" i="6" s="1"/>
  <c r="G39" i="6" s="1"/>
  <c r="G22" i="5"/>
  <c r="H87" i="1"/>
  <c r="N66" i="1"/>
  <c r="G35" i="6" l="1"/>
  <c r="G33" i="6"/>
  <c r="H29" i="6" s="1"/>
  <c r="G34" i="5"/>
  <c r="G23" i="5"/>
  <c r="H19" i="5" s="1"/>
  <c r="G40" i="6"/>
  <c r="G48" i="6" s="1"/>
  <c r="G41" i="6"/>
  <c r="G56" i="6" s="1"/>
  <c r="G25" i="5"/>
  <c r="G46" i="6"/>
  <c r="G24" i="6"/>
  <c r="H20" i="6" s="1"/>
  <c r="H92" i="1"/>
  <c r="N87" i="1"/>
  <c r="C95" i="1" s="1"/>
  <c r="K14" i="1" s="1"/>
  <c r="H14" i="6" l="1"/>
  <c r="H13" i="5"/>
  <c r="H31" i="6"/>
  <c r="G36" i="6"/>
  <c r="G47" i="6" s="1"/>
  <c r="G49" i="6" s="1"/>
  <c r="G37" i="6"/>
  <c r="G55" i="6" s="1"/>
  <c r="G57" i="6" s="1"/>
  <c r="H21" i="5"/>
  <c r="H22" i="6"/>
  <c r="G28" i="5"/>
  <c r="G35" i="5" s="1"/>
  <c r="G36" i="5" s="1"/>
  <c r="G29" i="5"/>
  <c r="G42" i="5" s="1"/>
  <c r="G43" i="5" s="1"/>
  <c r="N92" i="1"/>
  <c r="K12" i="1" s="1"/>
  <c r="C94" i="1"/>
  <c r="K13" i="1" s="1"/>
  <c r="C40" i="2" s="1"/>
  <c r="H14" i="5" l="1"/>
  <c r="H41" i="5" s="1"/>
  <c r="D41" i="5" s="1"/>
  <c r="H15" i="5"/>
  <c r="H15" i="6"/>
  <c r="H54" i="6" s="1"/>
  <c r="D54" i="6" s="1"/>
  <c r="H16" i="6"/>
  <c r="H22" i="5" l="1"/>
  <c r="H25" i="5" s="1"/>
  <c r="H23" i="6"/>
  <c r="H26" i="6" s="1"/>
  <c r="H32" i="6" s="1"/>
  <c r="H39" i="6" s="1"/>
  <c r="H41" i="6" l="1"/>
  <c r="H56" i="6" s="1"/>
  <c r="H40" i="6"/>
  <c r="H48" i="6" s="1"/>
  <c r="H28" i="5"/>
  <c r="H35" i="5" s="1"/>
  <c r="H29" i="5"/>
  <c r="H42" i="5" s="1"/>
  <c r="H43" i="5" s="1"/>
  <c r="H34" i="5"/>
  <c r="H23" i="5"/>
  <c r="I19" i="5" s="1"/>
  <c r="I21" i="5" s="1"/>
  <c r="I22" i="5" s="1"/>
  <c r="H46" i="6"/>
  <c r="H24" i="6"/>
  <c r="I20" i="6" s="1"/>
  <c r="H35" i="6"/>
  <c r="H33" i="6"/>
  <c r="I29" i="6" s="1"/>
  <c r="H36" i="5" l="1"/>
  <c r="I31" i="6"/>
  <c r="H36" i="6"/>
  <c r="H47" i="6" s="1"/>
  <c r="H49" i="6" s="1"/>
  <c r="H37" i="6"/>
  <c r="H55" i="6" s="1"/>
  <c r="H57" i="6" s="1"/>
  <c r="I22" i="6"/>
  <c r="I23" i="6" s="1"/>
  <c r="I23" i="5"/>
  <c r="J19" i="5" s="1"/>
  <c r="I34" i="5"/>
  <c r="I25" i="5"/>
  <c r="I46" i="6" l="1"/>
  <c r="I26" i="6"/>
  <c r="I32" i="6" s="1"/>
  <c r="I33" i="6" s="1"/>
  <c r="J29" i="6" s="1"/>
  <c r="J21" i="5"/>
  <c r="J22" i="5" s="1"/>
  <c r="I24" i="6"/>
  <c r="J20" i="6" s="1"/>
  <c r="I29" i="5"/>
  <c r="I42" i="5" s="1"/>
  <c r="I43" i="5" s="1"/>
  <c r="I28" i="5"/>
  <c r="I35" i="5" s="1"/>
  <c r="I36" i="5" s="1"/>
  <c r="J34" i="5" l="1"/>
  <c r="J25" i="5"/>
  <c r="J31" i="6"/>
  <c r="J22" i="6"/>
  <c r="J23" i="6" s="1"/>
  <c r="I35" i="6"/>
  <c r="I39" i="6"/>
  <c r="J23" i="5"/>
  <c r="K19" i="5" s="1"/>
  <c r="J46" i="6" l="1"/>
  <c r="J26" i="6"/>
  <c r="J32" i="6" s="1"/>
  <c r="I36" i="6"/>
  <c r="I47" i="6" s="1"/>
  <c r="I37" i="6"/>
  <c r="I55" i="6" s="1"/>
  <c r="J24" i="6"/>
  <c r="K20" i="6" s="1"/>
  <c r="K21" i="5"/>
  <c r="K22" i="5" s="1"/>
  <c r="I41" i="6"/>
  <c r="I56" i="6" s="1"/>
  <c r="I40" i="6"/>
  <c r="I48" i="6" s="1"/>
  <c r="J29" i="5"/>
  <c r="J42" i="5" s="1"/>
  <c r="J43" i="5" s="1"/>
  <c r="J28" i="5"/>
  <c r="J35" i="5" s="1"/>
  <c r="J36" i="5" s="1"/>
  <c r="J35" i="6" l="1"/>
  <c r="J39" i="6"/>
  <c r="J33" i="6"/>
  <c r="K29" i="6" s="1"/>
  <c r="I57" i="6"/>
  <c r="K23" i="5"/>
  <c r="L19" i="5" s="1"/>
  <c r="I49" i="6"/>
  <c r="K34" i="5"/>
  <c r="K25" i="5"/>
  <c r="K22" i="6"/>
  <c r="K23" i="6" s="1"/>
  <c r="K24" i="6" l="1"/>
  <c r="L20" i="6" s="1"/>
  <c r="L22" i="6" s="1"/>
  <c r="L23" i="6" s="1"/>
  <c r="K46" i="6"/>
  <c r="K26" i="6"/>
  <c r="K32" i="6" s="1"/>
  <c r="K31" i="6"/>
  <c r="L21" i="5"/>
  <c r="L22" i="5" s="1"/>
  <c r="J40" i="6"/>
  <c r="J48" i="6" s="1"/>
  <c r="J41" i="6"/>
  <c r="J56" i="6" s="1"/>
  <c r="K29" i="5"/>
  <c r="K42" i="5" s="1"/>
  <c r="K43" i="5" s="1"/>
  <c r="K28" i="5"/>
  <c r="K35" i="5" s="1"/>
  <c r="K36" i="5" s="1"/>
  <c r="J37" i="6"/>
  <c r="J55" i="6" s="1"/>
  <c r="J36" i="6"/>
  <c r="J47" i="6" s="1"/>
  <c r="J49" i="6" s="1"/>
  <c r="J57" i="6" l="1"/>
  <c r="K33" i="6"/>
  <c r="L29" i="6" s="1"/>
  <c r="L31" i="6" s="1"/>
  <c r="L26" i="6"/>
  <c r="L46" i="6"/>
  <c r="L34" i="5"/>
  <c r="L25" i="5"/>
  <c r="L24" i="6"/>
  <c r="K35" i="6"/>
  <c r="K39" i="6"/>
  <c r="L23" i="5"/>
  <c r="L32" i="6" l="1"/>
  <c r="L35" i="6" s="1"/>
  <c r="K40" i="6"/>
  <c r="K48" i="6" s="1"/>
  <c r="K41" i="6"/>
  <c r="K56" i="6" s="1"/>
  <c r="L29" i="5"/>
  <c r="L42" i="5" s="1"/>
  <c r="L43" i="5" s="1"/>
  <c r="L28" i="5"/>
  <c r="L35" i="5" s="1"/>
  <c r="L36" i="5" s="1"/>
  <c r="C37" i="5" s="1"/>
  <c r="K37" i="6"/>
  <c r="K55" i="6" s="1"/>
  <c r="K36" i="6"/>
  <c r="K47" i="6" s="1"/>
  <c r="L33" i="6" l="1"/>
  <c r="L39" i="6"/>
  <c r="L40" i="6" s="1"/>
  <c r="L48" i="6" s="1"/>
  <c r="K49" i="6"/>
  <c r="L37" i="6"/>
  <c r="L55" i="6" s="1"/>
  <c r="L36" i="6"/>
  <c r="L47" i="6" s="1"/>
  <c r="K57" i="6"/>
  <c r="D43" i="5"/>
  <c r="C44" i="5"/>
  <c r="L41" i="6" l="1"/>
  <c r="L56" i="6" s="1"/>
  <c r="L57" i="6" s="1"/>
  <c r="C58" i="6" s="1"/>
  <c r="L49" i="6"/>
  <c r="C50" i="6" s="1"/>
  <c r="D5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tc={2171B32E-C40C-4B7A-9EC9-9734D3FAB26B}</author>
    <author>tc={85EA6A95-0ECD-48B8-BC75-C9AF3AB6C82C}</author>
  </authors>
  <commentList>
    <comment ref="I80" authorId="0" shapeId="0" xr:uid="{2171B32E-C40C-4B7A-9EC9-9734D3FAB26B}">
      <text>
        <t>[Threaded comment]
Your version of Excel allows you to read this threaded comment; however, any edits to it will get removed if the file is opened in a newer version of Excel. Learn more: https://go.microsoft.com/fwlink/?linkid=870924
Comment:
    Developer Yield</t>
      </text>
    </comment>
    <comment ref="I81" authorId="1" shapeId="0" xr:uid="{85EA6A95-0ECD-48B8-BC75-C9AF3AB6C82C}">
      <text>
        <t>[Threaded comment]
Your version of Excel allows you to read this threaded comment; however, any edits to it will get removed if the file is opened in a newer version of Excel. Learn more: https://go.microsoft.com/fwlink/?linkid=870924
Comment:
    Developer Spread</t>
      </text>
    </comment>
  </commentList>
</comments>
</file>

<file path=xl/sharedStrings.xml><?xml version="1.0" encoding="utf-8"?>
<sst xmlns="http://schemas.openxmlformats.org/spreadsheetml/2006/main" count="307" uniqueCount="184">
  <si>
    <t>Period</t>
  </si>
  <si>
    <t>Developmet / Operations</t>
  </si>
  <si>
    <t>PROGRAM</t>
  </si>
  <si>
    <t>Location</t>
  </si>
  <si>
    <t>Salt Lake City</t>
  </si>
  <si>
    <t>Asset Class</t>
  </si>
  <si>
    <t>Multifamily</t>
  </si>
  <si>
    <t>Size</t>
  </si>
  <si>
    <t>units</t>
  </si>
  <si>
    <t>Average SF</t>
  </si>
  <si>
    <t>SF</t>
  </si>
  <si>
    <t>Total SF</t>
  </si>
  <si>
    <t>Land Size</t>
  </si>
  <si>
    <t>Total Project Costs</t>
  </si>
  <si>
    <t>Total Cost Per Unit</t>
  </si>
  <si>
    <t>Total Cost Per SF</t>
  </si>
  <si>
    <t>Stablized Project Value</t>
  </si>
  <si>
    <t>Total Value Per Unit</t>
  </si>
  <si>
    <t>Total Value Per SF</t>
  </si>
  <si>
    <t>DEVELOPMENT</t>
  </si>
  <si>
    <t>Land</t>
  </si>
  <si>
    <t>Hard Cost</t>
  </si>
  <si>
    <t>Soft Cost</t>
  </si>
  <si>
    <t>Financing Costs</t>
  </si>
  <si>
    <t>Developer Fee</t>
  </si>
  <si>
    <t>Contingency</t>
  </si>
  <si>
    <t>Total Development</t>
  </si>
  <si>
    <t>Total</t>
  </si>
  <si>
    <t>OPERATIONS</t>
  </si>
  <si>
    <t>Development</t>
  </si>
  <si>
    <t>Operations</t>
  </si>
  <si>
    <t>Gross Potential Rent (GPR)</t>
  </si>
  <si>
    <t>PSF</t>
  </si>
  <si>
    <t>Lease-Up Vacancy</t>
  </si>
  <si>
    <t>Stabilized Vacancy</t>
  </si>
  <si>
    <t>Net Rental Income (NRI)</t>
  </si>
  <si>
    <t>Effective Gross Income (EGI)</t>
  </si>
  <si>
    <t>Total Operating Expenses</t>
  </si>
  <si>
    <t>Net Operating Income</t>
  </si>
  <si>
    <t>Debt Service</t>
  </si>
  <si>
    <t>Free Cash Flow</t>
  </si>
  <si>
    <t>DEBT</t>
  </si>
  <si>
    <t>Construction Loan</t>
  </si>
  <si>
    <t>Loan-to-Cost (LTC)</t>
  </si>
  <si>
    <t>Loan</t>
  </si>
  <si>
    <t>Interest</t>
  </si>
  <si>
    <t>Term</t>
  </si>
  <si>
    <t>years</t>
  </si>
  <si>
    <t>Permanent Financing</t>
  </si>
  <si>
    <t>Loan-to-Value (LTV)</t>
  </si>
  <si>
    <t>Amortization</t>
  </si>
  <si>
    <t>Interest Only</t>
  </si>
  <si>
    <t>SOURCES &amp; USES</t>
  </si>
  <si>
    <t>Sources</t>
  </si>
  <si>
    <t>Debt</t>
  </si>
  <si>
    <t>Equity</t>
  </si>
  <si>
    <t>Total Source</t>
  </si>
  <si>
    <t>Uses</t>
  </si>
  <si>
    <t>Total Use</t>
  </si>
  <si>
    <t>EXIT ASSUMPTIONS</t>
  </si>
  <si>
    <t>Exit Cap Rate</t>
  </si>
  <si>
    <t>Cost of Sales</t>
  </si>
  <si>
    <t>KEY METRIC</t>
  </si>
  <si>
    <t>Profit</t>
  </si>
  <si>
    <t>IRR</t>
  </si>
  <si>
    <t>MOIC</t>
  </si>
  <si>
    <t>Unlevered</t>
  </si>
  <si>
    <t>Levered</t>
  </si>
  <si>
    <t>SALE ASSUMPTIONS</t>
  </si>
  <si>
    <t>Sales Price</t>
  </si>
  <si>
    <t>Cost of Sale</t>
  </si>
  <si>
    <t>Net Sales Proceeds</t>
  </si>
  <si>
    <t>EQUITY</t>
  </si>
  <si>
    <t>Construction</t>
  </si>
  <si>
    <t>Permanent Loan</t>
  </si>
  <si>
    <t>Accrued Balance</t>
  </si>
  <si>
    <t>Constructions Draws</t>
  </si>
  <si>
    <t>Accrued Interest</t>
  </si>
  <si>
    <t>Debt Repayment</t>
  </si>
  <si>
    <t>Ending Balance</t>
  </si>
  <si>
    <t>Starting Balance</t>
  </si>
  <si>
    <t>Loan Takedown</t>
  </si>
  <si>
    <t>Principal Payments</t>
  </si>
  <si>
    <t>RETURNS</t>
  </si>
  <si>
    <t>Total Unlevered</t>
  </si>
  <si>
    <t>Cash-on-Cash</t>
  </si>
  <si>
    <t>Internal Rate of Return (IRR)</t>
  </si>
  <si>
    <t>Invested Equity</t>
  </si>
  <si>
    <t>Construction Loan Repayment</t>
  </si>
  <si>
    <t>Permanent Loan Draw</t>
  </si>
  <si>
    <t>Permanent Debt Repayment</t>
  </si>
  <si>
    <t>Total Levered</t>
  </si>
  <si>
    <t>Multiple on Invested Capital (MOIC)</t>
  </si>
  <si>
    <t>basis points</t>
  </si>
  <si>
    <t>Revenue Escalation</t>
  </si>
  <si>
    <t>Revenue Escalation Factor</t>
  </si>
  <si>
    <t>Expense Escalation</t>
  </si>
  <si>
    <t>Expense Escalation Factor</t>
  </si>
  <si>
    <t>Lease-Up Concessions</t>
  </si>
  <si>
    <t>Stablized Concessions</t>
  </si>
  <si>
    <t>Bad Debt</t>
  </si>
  <si>
    <t>of GPR</t>
  </si>
  <si>
    <t>Garage/Covered Parking</t>
  </si>
  <si>
    <t>RUBS</t>
  </si>
  <si>
    <t>Application &amp; Other Fees</t>
  </si>
  <si>
    <t>Laundry</t>
  </si>
  <si>
    <t>PUPM</t>
  </si>
  <si>
    <t>Misc</t>
  </si>
  <si>
    <t>Repairs &amp; Maintenance</t>
  </si>
  <si>
    <t>Contract Services</t>
  </si>
  <si>
    <t>Marketing</t>
  </si>
  <si>
    <t>Payroll</t>
  </si>
  <si>
    <t>General &amp; Adminstration</t>
  </si>
  <si>
    <t>Property Taxes</t>
  </si>
  <si>
    <t>Insurance</t>
  </si>
  <si>
    <t>Utilities</t>
  </si>
  <si>
    <t>Management Fee</t>
  </si>
  <si>
    <t>Capital Reserves</t>
  </si>
  <si>
    <t>PUPY</t>
  </si>
  <si>
    <t>of EGI</t>
  </si>
  <si>
    <t>Per Unit OpEx</t>
  </si>
  <si>
    <t>Operating Margin</t>
  </si>
  <si>
    <t>Operating Expenses</t>
  </si>
  <si>
    <t>Effective Gross Income</t>
  </si>
  <si>
    <t>Period (Months)</t>
  </si>
  <si>
    <t>Cost Per SF</t>
  </si>
  <si>
    <t>Total Cost</t>
  </si>
  <si>
    <t>Start Date</t>
  </si>
  <si>
    <t>Duration</t>
  </si>
  <si>
    <t>Architecture</t>
  </si>
  <si>
    <t>Engineering</t>
  </si>
  <si>
    <t>Environmental</t>
  </si>
  <si>
    <t>Geotech</t>
  </si>
  <si>
    <t>Permit &amp; entitlements</t>
  </si>
  <si>
    <t>Taxes</t>
  </si>
  <si>
    <t>Legal</t>
  </si>
  <si>
    <t>[Placeholder]</t>
  </si>
  <si>
    <t>Market Study</t>
  </si>
  <si>
    <t>Appraisal</t>
  </si>
  <si>
    <t>Origination Fee</t>
  </si>
  <si>
    <t>Lender Legal</t>
  </si>
  <si>
    <t>Misc/Contingency</t>
  </si>
  <si>
    <t>Annual Indicator</t>
  </si>
  <si>
    <t>Development Draws</t>
  </si>
  <si>
    <t>Period (Years)</t>
  </si>
  <si>
    <t>Interest Payments</t>
  </si>
  <si>
    <t>Lease-Up</t>
  </si>
  <si>
    <t>Operational Years</t>
  </si>
  <si>
    <t>Minimum DSCR</t>
  </si>
  <si>
    <t>LTV Capacity</t>
  </si>
  <si>
    <t>DSCR Capacity</t>
  </si>
  <si>
    <t>Sponsor Promotes</t>
  </si>
  <si>
    <t>-</t>
  </si>
  <si>
    <t>GP</t>
  </si>
  <si>
    <t>LP</t>
  </si>
  <si>
    <t>Total Equity</t>
  </si>
  <si>
    <t>Net Cash Flow</t>
  </si>
  <si>
    <t>IRR Waterfall</t>
  </si>
  <si>
    <t>Beginning Balance</t>
  </si>
  <si>
    <t>Capital Investment</t>
  </si>
  <si>
    <t>Accrual</t>
  </si>
  <si>
    <t>Payment</t>
  </si>
  <si>
    <t>Tier 1</t>
  </si>
  <si>
    <t>Sponsor</t>
  </si>
  <si>
    <t>Tier 1 Free Cash Flow</t>
  </si>
  <si>
    <t>Total LP Return</t>
  </si>
  <si>
    <t>LP Initial Investment</t>
  </si>
  <si>
    <t>LP 12% Hurdle</t>
  </si>
  <si>
    <t>Tier 1 Split</t>
  </si>
  <si>
    <t>Co-Invest</t>
  </si>
  <si>
    <t>Sponsor Promote</t>
  </si>
  <si>
    <t>Subtotal</t>
  </si>
  <si>
    <t>GP/Sponsor</t>
  </si>
  <si>
    <t>IRR Waterfall Tier 1</t>
  </si>
  <si>
    <t>IRR Waterfall Tier 2</t>
  </si>
  <si>
    <t>Subtotal Cash Flow</t>
  </si>
  <si>
    <t>Tier 1 Cash Flow</t>
  </si>
  <si>
    <t>Tier 2 Cash Flow</t>
  </si>
  <si>
    <t>Tier 2 Split</t>
  </si>
  <si>
    <t>Tier 1 Promote</t>
  </si>
  <si>
    <t>Tier 2 Promote</t>
  </si>
  <si>
    <t>Final Class Model</t>
  </si>
  <si>
    <t>Ryan Bonus</t>
  </si>
  <si>
    <t>Sensitivity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</si>
</sst>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_);_(* \(#,##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/>
    <xf numFmtId="0" fontId="3" fillId="3" borderId="0" xfId="0" applyFont="1" applyFill="1"/>
    <xf numFmtId="0" fontId="0" fillId="0" borderId="1" xfId="0" applyBorder="1"/>
    <xf numFmtId="0" fontId="2" fillId="2" borderId="0" xfId="0" applyFont="1" applyFill="1" applyAlignment="1">
      <alignment horizontal="right"/>
    </xf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165" fontId="4" fillId="0" borderId="0" xfId="2" applyNumberFormat="1" applyFont="1"/>
    <xf numFmtId="165" fontId="0" fillId="0" borderId="0" xfId="0" applyNumberFormat="1"/>
    <xf numFmtId="164" fontId="0" fillId="0" borderId="0" xfId="0" applyNumberFormat="1"/>
    <xf numFmtId="0" fontId="0" fillId="0" borderId="2" xfId="0" applyBorder="1"/>
    <xf numFmtId="164" fontId="0" fillId="0" borderId="2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3" fillId="0" borderId="0" xfId="0" applyFont="1"/>
    <xf numFmtId="164" fontId="3" fillId="0" borderId="0" xfId="1" applyNumberFormat="1" applyFont="1"/>
    <xf numFmtId="164" fontId="3" fillId="0" borderId="3" xfId="1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43" fontId="0" fillId="0" borderId="0" xfId="0" applyNumberFormat="1"/>
    <xf numFmtId="0" fontId="3" fillId="0" borderId="0" xfId="0" applyFont="1" applyFill="1" applyBorder="1"/>
    <xf numFmtId="164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/>
    <xf numFmtId="0" fontId="0" fillId="0" borderId="2" xfId="0" applyFill="1" applyBorder="1"/>
    <xf numFmtId="164" fontId="0" fillId="0" borderId="2" xfId="1" applyNumberFormat="1" applyFont="1" applyFill="1" applyBorder="1"/>
    <xf numFmtId="166" fontId="0" fillId="0" borderId="0" xfId="0" applyNumberFormat="1" applyFill="1"/>
    <xf numFmtId="164" fontId="3" fillId="0" borderId="1" xfId="0" applyNumberFormat="1" applyFont="1" applyFill="1" applyBorder="1"/>
    <xf numFmtId="164" fontId="3" fillId="0" borderId="1" xfId="1" applyNumberFormat="1" applyFont="1" applyFill="1" applyBorder="1"/>
    <xf numFmtId="164" fontId="0" fillId="0" borderId="2" xfId="0" applyNumberFormat="1" applyBorder="1"/>
    <xf numFmtId="164" fontId="3" fillId="0" borderId="0" xfId="0" applyNumberFormat="1" applyFont="1"/>
    <xf numFmtId="0" fontId="0" fillId="6" borderId="0" xfId="0" applyFill="1" applyAlignment="1">
      <alignment horizontal="center"/>
    </xf>
    <xf numFmtId="0" fontId="3" fillId="7" borderId="4" xfId="0" applyFont="1" applyFill="1" applyBorder="1"/>
    <xf numFmtId="164" fontId="3" fillId="7" borderId="4" xfId="0" applyNumberFormat="1" applyFont="1" applyFill="1" applyBorder="1"/>
    <xf numFmtId="164" fontId="3" fillId="7" borderId="4" xfId="1" applyNumberFormat="1" applyFont="1" applyFill="1" applyBorder="1"/>
    <xf numFmtId="165" fontId="0" fillId="0" borderId="0" xfId="2" applyNumberFormat="1" applyFont="1"/>
    <xf numFmtId="0" fontId="6" fillId="0" borderId="0" xfId="0" applyFont="1"/>
    <xf numFmtId="165" fontId="6" fillId="0" borderId="0" xfId="2" applyNumberFormat="1" applyFont="1"/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" fillId="0" borderId="0" xfId="0" applyFont="1" applyFill="1"/>
    <xf numFmtId="10" fontId="4" fillId="0" borderId="0" xfId="0" applyNumberFormat="1" applyFont="1" applyFill="1"/>
    <xf numFmtId="9" fontId="4" fillId="0" borderId="0" xfId="0" applyNumberFormat="1" applyFont="1" applyFill="1"/>
    <xf numFmtId="165" fontId="4" fillId="0" borderId="0" xfId="2" applyNumberFormat="1" applyFont="1" applyFill="1"/>
    <xf numFmtId="164" fontId="0" fillId="0" borderId="2" xfId="0" applyNumberFormat="1" applyFill="1" applyBorder="1"/>
    <xf numFmtId="10" fontId="4" fillId="0" borderId="0" xfId="2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65" fontId="0" fillId="0" borderId="0" xfId="0" applyNumberFormat="1" applyFill="1"/>
    <xf numFmtId="43" fontId="0" fillId="0" borderId="0" xfId="0" applyNumberFormat="1" applyFill="1"/>
    <xf numFmtId="165" fontId="4" fillId="0" borderId="2" xfId="2" applyNumberFormat="1" applyFont="1" applyFill="1" applyBorder="1"/>
    <xf numFmtId="0" fontId="3" fillId="0" borderId="1" xfId="0" applyFont="1" applyFill="1" applyBorder="1"/>
    <xf numFmtId="164" fontId="3" fillId="0" borderId="0" xfId="1" applyNumberFormat="1" applyFont="1" applyFill="1"/>
    <xf numFmtId="165" fontId="6" fillId="0" borderId="0" xfId="2" applyNumberFormat="1" applyFont="1" applyFill="1"/>
    <xf numFmtId="10" fontId="0" fillId="0" borderId="0" xfId="2" applyNumberFormat="1" applyFont="1" applyFill="1"/>
    <xf numFmtId="0" fontId="3" fillId="8" borderId="3" xfId="0" applyFont="1" applyFill="1" applyBorder="1"/>
    <xf numFmtId="164" fontId="3" fillId="8" borderId="3" xfId="0" applyNumberFormat="1" applyFont="1" applyFill="1" applyBorder="1"/>
    <xf numFmtId="164" fontId="3" fillId="8" borderId="3" xfId="1" applyNumberFormat="1" applyFont="1" applyFill="1" applyBorder="1"/>
    <xf numFmtId="43" fontId="7" fillId="0" borderId="0" xfId="1" applyFont="1" applyFill="1"/>
    <xf numFmtId="164" fontId="3" fillId="0" borderId="0" xfId="0" applyNumberFormat="1" applyFont="1" applyFill="1"/>
    <xf numFmtId="0" fontId="0" fillId="0" borderId="0" xfId="0" applyBorder="1"/>
    <xf numFmtId="165" fontId="4" fillId="0" borderId="0" xfId="2" applyNumberFormat="1" applyFont="1" applyFill="1" applyBorder="1"/>
    <xf numFmtId="164" fontId="0" fillId="0" borderId="0" xfId="1" applyNumberFormat="1" applyFont="1" applyBorder="1"/>
    <xf numFmtId="10" fontId="4" fillId="0" borderId="0" xfId="2" applyNumberFormat="1" applyFont="1" applyFill="1" applyBorder="1"/>
    <xf numFmtId="0" fontId="0" fillId="0" borderId="0" xfId="0" applyFont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Border="1"/>
    <xf numFmtId="43" fontId="4" fillId="0" borderId="0" xfId="1" applyFont="1" applyFill="1" applyBorder="1"/>
    <xf numFmtId="0" fontId="3" fillId="0" borderId="0" xfId="0" applyFont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6" fillId="0" borderId="0" xfId="0" applyFont="1" applyBorder="1"/>
    <xf numFmtId="164" fontId="6" fillId="0" borderId="0" xfId="1" applyNumberFormat="1" applyFont="1" applyFill="1" applyBorder="1"/>
    <xf numFmtId="164" fontId="6" fillId="0" borderId="0" xfId="1" applyNumberFormat="1" applyFont="1" applyBorder="1"/>
    <xf numFmtId="164" fontId="3" fillId="0" borderId="0" xfId="0" applyNumberFormat="1" applyFont="1" applyFill="1" applyBorder="1"/>
    <xf numFmtId="0" fontId="9" fillId="0" borderId="0" xfId="0" applyFont="1"/>
    <xf numFmtId="0" fontId="2" fillId="2" borderId="0" xfId="0" applyFont="1" applyFill="1" applyAlignment="1">
      <alignment horizontal="center"/>
    </xf>
    <xf numFmtId="164" fontId="10" fillId="0" borderId="0" xfId="1" applyNumberFormat="1" applyFont="1"/>
    <xf numFmtId="37" fontId="4" fillId="0" borderId="0" xfId="1" applyNumberFormat="1" applyFont="1" applyAlignment="1">
      <alignment horizontal="center"/>
    </xf>
    <xf numFmtId="164" fontId="4" fillId="0" borderId="2" xfId="1" applyNumberFormat="1" applyFont="1" applyBorder="1"/>
    <xf numFmtId="164" fontId="10" fillId="0" borderId="2" xfId="1" applyNumberFormat="1" applyFont="1" applyBorder="1"/>
    <xf numFmtId="37" fontId="4" fillId="0" borderId="2" xfId="1" applyNumberFormat="1" applyFont="1" applyBorder="1" applyAlignment="1">
      <alignment horizontal="center"/>
    </xf>
    <xf numFmtId="164" fontId="9" fillId="0" borderId="0" xfId="1" applyNumberFormat="1" applyFont="1"/>
    <xf numFmtId="164" fontId="7" fillId="0" borderId="0" xfId="1" applyNumberFormat="1" applyFont="1"/>
    <xf numFmtId="37" fontId="7" fillId="0" borderId="0" xfId="1" applyNumberFormat="1" applyFont="1" applyAlignment="1">
      <alignment horizontal="center"/>
    </xf>
    <xf numFmtId="165" fontId="4" fillId="0" borderId="0" xfId="0" applyNumberFormat="1" applyFont="1"/>
    <xf numFmtId="166" fontId="0" fillId="0" borderId="0" xfId="0" applyNumberFormat="1"/>
    <xf numFmtId="164" fontId="1" fillId="0" borderId="0" xfId="1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43" fontId="6" fillId="0" borderId="0" xfId="0" applyNumberFormat="1" applyFont="1" applyFill="1"/>
    <xf numFmtId="0" fontId="6" fillId="0" borderId="0" xfId="0" applyFont="1" applyFill="1"/>
    <xf numFmtId="165" fontId="0" fillId="0" borderId="0" xfId="2" applyNumberFormat="1" applyFont="1" applyFill="1"/>
    <xf numFmtId="0" fontId="11" fillId="0" borderId="0" xfId="0" applyFont="1"/>
    <xf numFmtId="0" fontId="8" fillId="0" borderId="0" xfId="0" quotePrefix="1" applyFont="1" applyAlignment="1">
      <alignment horizontal="center"/>
    </xf>
    <xf numFmtId="9" fontId="4" fillId="0" borderId="0" xfId="2" applyFont="1"/>
    <xf numFmtId="9" fontId="0" fillId="0" borderId="0" xfId="0" applyNumberFormat="1"/>
    <xf numFmtId="164" fontId="0" fillId="0" borderId="0" xfId="0" applyNumberFormat="1" applyFont="1"/>
    <xf numFmtId="9" fontId="0" fillId="0" borderId="0" xfId="0" applyNumberFormat="1" applyFont="1"/>
    <xf numFmtId="164" fontId="3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yan Davis" id="{595F4135-8634-476E-BE63-3EE422DE7EE2}" userId="f98c2cc952de3a7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0" dT="2021-06-03T03:12:27.30" personId="{595F4135-8634-476E-BE63-3EE422DE7EE2}" id="{2171B32E-C40C-4B7A-9EC9-9734D3FAB26B}">
    <text>Developer Yield</text>
  </threadedComment>
  <threadedComment ref="I81" dT="2021-06-03T03:12:34.40" personId="{595F4135-8634-476E-BE63-3EE422DE7EE2}" id="{85EA6A95-0ECD-48B8-BC75-C9AF3AB6C82C}">
    <text>Developer Spread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387E-ED4B-45A8-872A-74517B061245}">
  <dimension ref="A1:O115"/>
  <sheetViews>
    <sheetView topLeftCell="A16" zoomScale="80" zoomScaleNormal="80" workbookViewId="0">
      <selection activeCell="O5" sqref="O5"/>
    </sheetView>
  </sheetViews>
  <sheetFormatPr defaultRowHeight="15" x14ac:dyDescent="0.25"/>
  <cols>
    <col min="2" max="2" width="37.140625" bestFit="1" customWidth="1"/>
    <col min="3" max="3" width="13.42578125" customWidth="1"/>
    <col min="4" max="4" width="15.7109375" bestFit="1" customWidth="1"/>
    <col min="5" max="5" width="6.85546875" customWidth="1"/>
    <col min="6" max="12" width="16.5703125" customWidth="1"/>
    <col min="13" max="13" width="7.140625" customWidth="1"/>
    <col min="14" max="14" width="16.5703125" customWidth="1"/>
  </cols>
  <sheetData>
    <row r="1" spans="1:14" x14ac:dyDescent="0.25">
      <c r="A1" s="48" t="s">
        <v>181</v>
      </c>
      <c r="J1" s="108"/>
      <c r="K1" s="108"/>
      <c r="L1" s="108"/>
      <c r="M1" s="108"/>
      <c r="N1" s="108"/>
    </row>
    <row r="2" spans="1:14" x14ac:dyDescent="0.25">
      <c r="J2" s="108"/>
      <c r="K2" s="109" t="s">
        <v>152</v>
      </c>
      <c r="L2" s="108"/>
      <c r="M2" s="108"/>
      <c r="N2" s="108"/>
    </row>
    <row r="3" spans="1:14" x14ac:dyDescent="0.25">
      <c r="J3" s="108"/>
      <c r="K3" s="108"/>
      <c r="L3" s="108"/>
      <c r="M3" s="108"/>
      <c r="N3" s="108"/>
    </row>
    <row r="4" spans="1:14" x14ac:dyDescent="0.25">
      <c r="B4" s="23" t="s">
        <v>2</v>
      </c>
      <c r="E4" s="32"/>
      <c r="F4" s="50" t="s">
        <v>52</v>
      </c>
      <c r="G4" s="32"/>
      <c r="I4" s="50" t="s">
        <v>59</v>
      </c>
      <c r="J4" s="32"/>
      <c r="M4" s="32"/>
      <c r="N4" s="32"/>
    </row>
    <row r="5" spans="1:14" x14ac:dyDescent="0.25">
      <c r="B5" t="s">
        <v>3</v>
      </c>
      <c r="C5" s="3" t="s">
        <v>4</v>
      </c>
      <c r="E5" s="32"/>
      <c r="F5" s="32" t="s">
        <v>53</v>
      </c>
      <c r="G5" s="32"/>
      <c r="I5" s="32" t="s">
        <v>60</v>
      </c>
      <c r="J5" s="51">
        <v>5.5E-2</v>
      </c>
      <c r="M5" s="32"/>
      <c r="N5" s="32"/>
    </row>
    <row r="6" spans="1:14" x14ac:dyDescent="0.25">
      <c r="B6" t="s">
        <v>5</v>
      </c>
      <c r="C6" s="3" t="s">
        <v>6</v>
      </c>
      <c r="E6" s="32"/>
      <c r="F6" s="32" t="s">
        <v>54</v>
      </c>
      <c r="G6" s="30">
        <f>Debt!C16</f>
        <v>20935000</v>
      </c>
      <c r="I6" s="32" t="s">
        <v>61</v>
      </c>
      <c r="J6" s="53">
        <v>0.02</v>
      </c>
      <c r="M6" s="32"/>
      <c r="N6" s="32"/>
    </row>
    <row r="7" spans="1:14" x14ac:dyDescent="0.25">
      <c r="B7" t="s">
        <v>7</v>
      </c>
      <c r="C7" s="4">
        <v>100</v>
      </c>
      <c r="D7" t="s">
        <v>8</v>
      </c>
      <c r="E7" s="32"/>
      <c r="F7" s="33" t="s">
        <v>55</v>
      </c>
      <c r="G7" s="54">
        <f>G8-G6</f>
        <v>8968799.8836342543</v>
      </c>
      <c r="I7" s="32"/>
      <c r="J7" s="32"/>
      <c r="M7" s="32"/>
      <c r="N7" s="32"/>
    </row>
    <row r="8" spans="1:14" x14ac:dyDescent="0.25">
      <c r="B8" t="s">
        <v>9</v>
      </c>
      <c r="C8" s="4">
        <v>760</v>
      </c>
      <c r="D8" t="s">
        <v>10</v>
      </c>
      <c r="E8" s="32"/>
      <c r="F8" s="32" t="s">
        <v>56</v>
      </c>
      <c r="G8" s="30">
        <f>G17</f>
        <v>29903799.883634254</v>
      </c>
      <c r="I8" s="32"/>
      <c r="J8" s="32"/>
      <c r="M8" s="32"/>
      <c r="N8" s="32"/>
    </row>
    <row r="9" spans="1:14" x14ac:dyDescent="0.25">
      <c r="B9" t="s">
        <v>11</v>
      </c>
      <c r="C9" s="4">
        <v>95000</v>
      </c>
      <c r="D9" t="s">
        <v>10</v>
      </c>
      <c r="E9" s="32"/>
      <c r="F9" s="32"/>
      <c r="G9" s="32"/>
      <c r="I9" s="50" t="s">
        <v>62</v>
      </c>
      <c r="J9" s="32"/>
      <c r="M9" s="32"/>
      <c r="N9" s="32"/>
    </row>
    <row r="10" spans="1:14" x14ac:dyDescent="0.25">
      <c r="B10" t="s">
        <v>12</v>
      </c>
      <c r="C10" s="4">
        <v>43560</v>
      </c>
      <c r="D10" t="s">
        <v>10</v>
      </c>
      <c r="E10" s="32"/>
      <c r="F10" s="32" t="s">
        <v>57</v>
      </c>
      <c r="G10" s="32"/>
      <c r="I10" s="32"/>
      <c r="J10" s="57" t="s">
        <v>66</v>
      </c>
      <c r="K10" s="57" t="s">
        <v>67</v>
      </c>
      <c r="M10" s="32"/>
    </row>
    <row r="11" spans="1:14" x14ac:dyDescent="0.25">
      <c r="E11" s="32"/>
      <c r="F11" s="32" t="s">
        <v>20</v>
      </c>
      <c r="G11" s="30">
        <f t="shared" ref="G11:G16" si="0">N28</f>
        <v>1100000</v>
      </c>
      <c r="I11" s="32" t="s">
        <v>55</v>
      </c>
      <c r="J11" s="30">
        <f>-N76</f>
        <v>29903799.883634254</v>
      </c>
      <c r="K11" s="30">
        <f>-N86</f>
        <v>8968799.8836342543</v>
      </c>
      <c r="M11" s="32"/>
    </row>
    <row r="12" spans="1:14" x14ac:dyDescent="0.25">
      <c r="B12" t="s">
        <v>13</v>
      </c>
      <c r="C12" s="18">
        <f>$N$34</f>
        <v>29903799.883634254</v>
      </c>
      <c r="E12" s="32"/>
      <c r="F12" s="32" t="s">
        <v>21</v>
      </c>
      <c r="G12" s="30">
        <f t="shared" si="0"/>
        <v>22420000.000000004</v>
      </c>
      <c r="I12" s="32" t="s">
        <v>63</v>
      </c>
      <c r="J12" s="30">
        <f>N79</f>
        <v>16425924.400387056</v>
      </c>
      <c r="K12" s="30">
        <f>N92</f>
        <v>9785372.4119730368</v>
      </c>
      <c r="M12" s="32"/>
    </row>
    <row r="13" spans="1:14" x14ac:dyDescent="0.25">
      <c r="B13" t="s">
        <v>14</v>
      </c>
      <c r="C13" s="9">
        <f>C12/C7</f>
        <v>299037.99883634254</v>
      </c>
      <c r="E13" s="32"/>
      <c r="F13" s="32" t="s">
        <v>22</v>
      </c>
      <c r="G13" s="30">
        <f t="shared" si="0"/>
        <v>2351000</v>
      </c>
      <c r="I13" s="32" t="s">
        <v>64</v>
      </c>
      <c r="J13" s="58">
        <f>C81</f>
        <v>9.0112097718183071E-2</v>
      </c>
      <c r="K13" s="58">
        <f>C94</f>
        <v>0.16181542268474192</v>
      </c>
      <c r="M13" s="32"/>
    </row>
    <row r="14" spans="1:14" x14ac:dyDescent="0.25">
      <c r="B14" t="s">
        <v>15</v>
      </c>
      <c r="C14" s="9">
        <f>C12/C9</f>
        <v>314.77684088036057</v>
      </c>
      <c r="D14" s="32"/>
      <c r="E14" s="32"/>
      <c r="F14" s="32" t="s">
        <v>23</v>
      </c>
      <c r="G14" s="30">
        <f t="shared" si="0"/>
        <v>257265.51650000003</v>
      </c>
      <c r="I14" s="32" t="s">
        <v>65</v>
      </c>
      <c r="J14" s="59">
        <f>C82</f>
        <v>1.5492922125049613</v>
      </c>
      <c r="K14" s="59">
        <f>C95</f>
        <v>2.0910459079178265</v>
      </c>
      <c r="M14" s="32"/>
    </row>
    <row r="15" spans="1:14" x14ac:dyDescent="0.25">
      <c r="D15" s="32"/>
      <c r="E15" s="32"/>
      <c r="F15" s="32" t="s">
        <v>24</v>
      </c>
      <c r="G15" s="30">
        <f t="shared" si="0"/>
        <v>1306413.2758249999</v>
      </c>
      <c r="I15" s="32"/>
      <c r="J15" s="32"/>
      <c r="M15" s="32"/>
      <c r="N15" s="32"/>
    </row>
    <row r="16" spans="1:14" x14ac:dyDescent="0.25">
      <c r="B16" t="s">
        <v>16</v>
      </c>
      <c r="C16" s="18">
        <f>I43/D16</f>
        <v>37538488.053600006</v>
      </c>
      <c r="D16" s="51">
        <v>5.2499999999999998E-2</v>
      </c>
      <c r="F16" s="19" t="s">
        <v>25</v>
      </c>
      <c r="G16" s="38">
        <f t="shared" si="0"/>
        <v>2469121.0913092499</v>
      </c>
    </row>
    <row r="17" spans="2:15" x14ac:dyDescent="0.25">
      <c r="B17" t="s">
        <v>17</v>
      </c>
      <c r="C17" s="9">
        <f>C16/C7</f>
        <v>375384.88053600007</v>
      </c>
      <c r="D17" s="32"/>
      <c r="F17" t="s">
        <v>58</v>
      </c>
      <c r="G17" s="18">
        <f>SUM(G11:G16)</f>
        <v>29903799.883634254</v>
      </c>
    </row>
    <row r="18" spans="2:15" x14ac:dyDescent="0.25">
      <c r="B18" t="s">
        <v>18</v>
      </c>
      <c r="C18" s="9">
        <f>C16/C9</f>
        <v>395.141979511579</v>
      </c>
      <c r="D18" s="32"/>
    </row>
    <row r="21" spans="2:15" x14ac:dyDescent="0.25">
      <c r="B21" s="1" t="s">
        <v>0</v>
      </c>
      <c r="C21" s="1"/>
      <c r="D21" s="1"/>
      <c r="E21" s="1"/>
      <c r="F21" s="1">
        <v>1</v>
      </c>
      <c r="G21" s="1">
        <f>F21+1</f>
        <v>2</v>
      </c>
      <c r="H21" s="1">
        <f t="shared" ref="H21:L21" si="1">G21+1</f>
        <v>3</v>
      </c>
      <c r="I21" s="1">
        <f t="shared" si="1"/>
        <v>4</v>
      </c>
      <c r="J21" s="1">
        <f t="shared" si="1"/>
        <v>5</v>
      </c>
      <c r="K21" s="1">
        <f t="shared" si="1"/>
        <v>6</v>
      </c>
      <c r="L21" s="1">
        <f t="shared" si="1"/>
        <v>7</v>
      </c>
      <c r="M21" s="1"/>
      <c r="N21" s="7" t="s">
        <v>27</v>
      </c>
    </row>
    <row r="22" spans="2:15" x14ac:dyDescent="0.25">
      <c r="B22" t="s">
        <v>1</v>
      </c>
      <c r="F22" s="12">
        <f>G22-1</f>
        <v>-2</v>
      </c>
      <c r="G22" s="12">
        <v>-1</v>
      </c>
      <c r="H22" s="15">
        <v>1</v>
      </c>
      <c r="I22" s="11">
        <f t="shared" ref="I22:L22" si="2">H22+1</f>
        <v>2</v>
      </c>
      <c r="J22" s="11">
        <f t="shared" si="2"/>
        <v>3</v>
      </c>
      <c r="K22" s="11">
        <f t="shared" si="2"/>
        <v>4</v>
      </c>
      <c r="L22" s="11">
        <f t="shared" si="2"/>
        <v>5</v>
      </c>
    </row>
    <row r="25" spans="2:15" x14ac:dyDescent="0.25">
      <c r="B25" s="5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5" x14ac:dyDescent="0.25">
      <c r="F26" s="14" t="s">
        <v>29</v>
      </c>
      <c r="G26" s="14" t="s">
        <v>29</v>
      </c>
    </row>
    <row r="27" spans="2:15" x14ac:dyDescent="0.25">
      <c r="D27" s="32"/>
      <c r="E27" s="32"/>
      <c r="F27" s="32"/>
      <c r="G27" s="32"/>
      <c r="H27" s="32"/>
      <c r="I27" s="32"/>
    </row>
    <row r="28" spans="2:15" x14ac:dyDescent="0.25">
      <c r="B28" t="s">
        <v>20</v>
      </c>
      <c r="C28" s="4"/>
      <c r="D28" s="31"/>
      <c r="E28" s="31"/>
      <c r="F28" s="31">
        <f>SUMIF(Development!$I$6:$AG$6,'Cash Flow'!F$21,Development!$I$8:$AG$8)</f>
        <v>1100000</v>
      </c>
      <c r="G28" s="31">
        <f>SUMIF(Development!$I$6:$AG$6,'Cash Flow'!G$21,Development!$I$8:$AG$8)</f>
        <v>0</v>
      </c>
      <c r="H28" s="31"/>
      <c r="I28" s="31"/>
      <c r="J28" s="9"/>
      <c r="K28" s="9"/>
      <c r="L28" s="9"/>
      <c r="M28" s="9"/>
      <c r="N28" s="9">
        <f t="shared" ref="N28:N34" si="3">SUM(E28:M28)</f>
        <v>1100000</v>
      </c>
    </row>
    <row r="29" spans="2:15" x14ac:dyDescent="0.25">
      <c r="B29" t="s">
        <v>21</v>
      </c>
      <c r="C29" s="4"/>
      <c r="D29" s="31"/>
      <c r="E29" s="31"/>
      <c r="F29" s="31">
        <f>SUMIF(Development!$I$6:$AG$6,'Cash Flow'!F$21,Development!$I$10:$AG$10)</f>
        <v>7473333.333333334</v>
      </c>
      <c r="G29" s="31">
        <f>SUMIF(Development!$I$6:$AG$6,'Cash Flow'!G$21,Development!$I$10:$AG$10)</f>
        <v>14946666.66666667</v>
      </c>
      <c r="H29" s="31"/>
      <c r="I29" s="31"/>
      <c r="J29" s="9"/>
      <c r="K29" s="9"/>
      <c r="L29" s="9"/>
      <c r="M29" s="9"/>
      <c r="N29" s="9">
        <f t="shared" si="3"/>
        <v>22420000.000000004</v>
      </c>
    </row>
    <row r="30" spans="2:15" x14ac:dyDescent="0.25">
      <c r="B30" t="s">
        <v>22</v>
      </c>
      <c r="C30" s="16"/>
      <c r="D30" s="31"/>
      <c r="E30" s="31"/>
      <c r="F30" s="31">
        <f>SUMIF(Development!$I$6:$AG$6,'Cash Flow'!F$21,Development!$I$24:$AG$24)</f>
        <v>1951000.0000000002</v>
      </c>
      <c r="G30" s="31">
        <f>SUMIF(Development!$I$6:$AG$6,'Cash Flow'!G$21,Development!$I$24:$AG$24)</f>
        <v>400000</v>
      </c>
      <c r="H30" s="31"/>
      <c r="I30" s="31"/>
      <c r="J30" s="9"/>
      <c r="K30" s="9"/>
      <c r="L30" s="9"/>
      <c r="M30" s="9"/>
      <c r="N30" s="9">
        <f t="shared" si="3"/>
        <v>2351000</v>
      </c>
    </row>
    <row r="31" spans="2:15" x14ac:dyDescent="0.25">
      <c r="B31" t="s">
        <v>23</v>
      </c>
      <c r="C31" s="4"/>
      <c r="D31" s="31"/>
      <c r="E31" s="31"/>
      <c r="F31" s="31">
        <f>SUMIF(Development!$I$6:$AG$6,'Cash Flow'!F$21,Development!$I$30:$AG$30)</f>
        <v>257265.51650000003</v>
      </c>
      <c r="G31" s="31">
        <f>SUMIF(Development!$I$6:$AG$6,'Cash Flow'!G$21,Development!$I$30:$AG$30)</f>
        <v>0</v>
      </c>
      <c r="H31" s="31"/>
      <c r="I31" s="31"/>
      <c r="J31" s="9"/>
      <c r="K31" s="9"/>
      <c r="L31" s="9"/>
      <c r="M31" s="9"/>
      <c r="N31" s="9">
        <f t="shared" si="3"/>
        <v>257265.51650000003</v>
      </c>
    </row>
    <row r="32" spans="2:15" x14ac:dyDescent="0.25">
      <c r="B32" t="s">
        <v>24</v>
      </c>
      <c r="C32" s="16"/>
      <c r="D32" s="31"/>
      <c r="E32" s="31"/>
      <c r="F32" s="31">
        <f>SUMIF(Development!$I$6:$AG$6,'Cash Flow'!F$21,Development!$I$32:$AG$32)</f>
        <v>539079.94249166665</v>
      </c>
      <c r="G32" s="31">
        <f>SUMIF(Development!$I$6:$AG$6,'Cash Flow'!G$21,Development!$I$32:$AG$32)</f>
        <v>767333.33333333326</v>
      </c>
      <c r="H32" s="31"/>
      <c r="I32" s="31"/>
      <c r="J32" s="9"/>
      <c r="K32" s="9"/>
      <c r="L32" s="9"/>
      <c r="M32" s="9"/>
      <c r="N32" s="9">
        <f t="shared" si="3"/>
        <v>1306413.2758249999</v>
      </c>
      <c r="O32" s="44"/>
    </row>
    <row r="33" spans="2:14" x14ac:dyDescent="0.25">
      <c r="B33" t="s">
        <v>25</v>
      </c>
      <c r="C33" s="16"/>
      <c r="D33" s="9"/>
      <c r="E33" s="9"/>
      <c r="F33" s="9">
        <f>SUMIF(Development!$I$6:$AG$6,'Cash Flow'!F$21,Development!$I$34:$AG$34)</f>
        <v>1018861.09130925</v>
      </c>
      <c r="G33" s="9">
        <f>SUMIF(Development!$I$6:$AG$6,'Cash Flow'!G$21,Development!$I$34:$AG$34)</f>
        <v>1450259.9999999998</v>
      </c>
      <c r="H33" s="9"/>
      <c r="I33" s="9"/>
      <c r="J33" s="9"/>
      <c r="K33" s="9"/>
      <c r="L33" s="9"/>
      <c r="M33" s="9"/>
      <c r="N33" s="9">
        <f t="shared" si="3"/>
        <v>2469121.0913092499</v>
      </c>
    </row>
    <row r="34" spans="2:14" x14ac:dyDescent="0.25">
      <c r="B34" s="6" t="s">
        <v>26</v>
      </c>
      <c r="C34" s="10"/>
      <c r="D34" s="10"/>
      <c r="E34" s="10"/>
      <c r="F34" s="10">
        <f>SUM(F28:F33)</f>
        <v>12339539.883634251</v>
      </c>
      <c r="G34" s="10">
        <f>SUM(G28:G33)</f>
        <v>17564260.000000004</v>
      </c>
      <c r="H34" s="10"/>
      <c r="I34" s="10"/>
      <c r="J34" s="10"/>
      <c r="K34" s="10"/>
      <c r="L34" s="10"/>
      <c r="M34" s="10"/>
      <c r="N34" s="10">
        <f t="shared" si="3"/>
        <v>29903799.883634254</v>
      </c>
    </row>
    <row r="37" spans="2:14" x14ac:dyDescent="0.25">
      <c r="B37" s="5" t="s">
        <v>28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2:14" x14ac:dyDescent="0.25">
      <c r="H38" s="40" t="s">
        <v>146</v>
      </c>
      <c r="I38" s="13" t="s">
        <v>30</v>
      </c>
      <c r="J38" s="13" t="s">
        <v>30</v>
      </c>
      <c r="K38" s="13" t="s">
        <v>30</v>
      </c>
      <c r="L38" s="13" t="s">
        <v>30</v>
      </c>
    </row>
    <row r="39" spans="2:14" x14ac:dyDescent="0.25">
      <c r="C39" s="32"/>
      <c r="D39" s="32"/>
      <c r="E39" s="32"/>
      <c r="F39" s="32"/>
      <c r="G39" s="32"/>
      <c r="H39" s="32"/>
      <c r="I39" s="32"/>
      <c r="J39" s="32"/>
    </row>
    <row r="40" spans="2:14" x14ac:dyDescent="0.25">
      <c r="B40" s="79" t="s">
        <v>123</v>
      </c>
      <c r="C40" s="29"/>
      <c r="D40" s="29"/>
      <c r="E40" s="29"/>
      <c r="F40" s="29"/>
      <c r="G40" s="29"/>
      <c r="H40" s="85">
        <f>Operations!I27</f>
        <v>1287392.8799999999</v>
      </c>
      <c r="I40" s="85">
        <f>Operations!J27</f>
        <v>2659164.9462000001</v>
      </c>
      <c r="J40" s="85">
        <f>Operations!K27</f>
        <v>2725644.069854999</v>
      </c>
      <c r="K40" s="85">
        <f>Operations!L27</f>
        <v>2793785.1716013746</v>
      </c>
      <c r="L40" s="85">
        <f>Operations!M27</f>
        <v>2863629.8008914087</v>
      </c>
      <c r="M40" s="79"/>
      <c r="N40" s="81">
        <f>SUM(E40:M40)</f>
        <v>12329616.868547782</v>
      </c>
    </row>
    <row r="41" spans="2:14" x14ac:dyDescent="0.25">
      <c r="B41" s="79" t="s">
        <v>122</v>
      </c>
      <c r="C41" s="79"/>
      <c r="D41" s="79"/>
      <c r="E41" s="79"/>
      <c r="F41" s="79"/>
      <c r="G41" s="79"/>
      <c r="H41" s="80">
        <f>Operations!I39</f>
        <v>-632396.78639999987</v>
      </c>
      <c r="I41" s="80">
        <f>Operations!J39</f>
        <v>-688394.32338599989</v>
      </c>
      <c r="J41" s="80">
        <f>Operations!K39</f>
        <v>-714733.47209564992</v>
      </c>
      <c r="K41" s="80">
        <f>Operations!L39</f>
        <v>-735766.62964804098</v>
      </c>
      <c r="L41" s="80">
        <f>Operations!M39</f>
        <v>-757420.56076174229</v>
      </c>
      <c r="M41" s="81"/>
      <c r="N41" s="81">
        <f>SUM(E41:M41)</f>
        <v>-3528711.7722914331</v>
      </c>
    </row>
    <row r="43" spans="2:14" ht="15.75" thickBot="1" x14ac:dyDescent="0.3">
      <c r="B43" s="26" t="s">
        <v>38</v>
      </c>
      <c r="C43" s="26"/>
      <c r="D43" s="26"/>
      <c r="E43" s="26"/>
      <c r="F43" s="26"/>
      <c r="G43" s="26"/>
      <c r="H43" s="27">
        <f>H40+H41</f>
        <v>654996.09360000002</v>
      </c>
      <c r="I43" s="27">
        <f>I40+I41</f>
        <v>1970770.6228140001</v>
      </c>
      <c r="J43" s="27">
        <f>J40+J41</f>
        <v>2010910.597759349</v>
      </c>
      <c r="K43" s="27">
        <f>K40+K41</f>
        <v>2058018.5419533337</v>
      </c>
      <c r="L43" s="27">
        <f>L40+L41</f>
        <v>2106209.2401296664</v>
      </c>
      <c r="M43" s="26"/>
      <c r="N43" s="25">
        <f>SUM(E43:M43)</f>
        <v>8800905.0962563492</v>
      </c>
    </row>
    <row r="45" spans="2:14" x14ac:dyDescent="0.25">
      <c r="B45" s="29" t="s">
        <v>39</v>
      </c>
      <c r="F45" s="9">
        <f>-Debt!F45</f>
        <v>0</v>
      </c>
      <c r="G45" s="9">
        <f>-Debt!G45</f>
        <v>0</v>
      </c>
      <c r="H45" s="9">
        <f>-Debt!H45</f>
        <v>-1216320</v>
      </c>
      <c r="I45" s="31">
        <f>-Debt!I45</f>
        <v>-1216320</v>
      </c>
      <c r="J45" s="31">
        <f>-Debt!J45</f>
        <v>-1595402.4094811305</v>
      </c>
      <c r="K45" s="31">
        <f>-Debt!K45</f>
        <v>-1595402.4094811305</v>
      </c>
      <c r="L45" s="31">
        <f>-Debt!L45</f>
        <v>-1595402.4094811305</v>
      </c>
      <c r="N45" s="9">
        <f>SUM(E45:M45)</f>
        <v>-7218847.2284433916</v>
      </c>
    </row>
    <row r="47" spans="2:14" ht="15.75" thickBot="1" x14ac:dyDescent="0.3">
      <c r="B47" s="41" t="s">
        <v>40</v>
      </c>
      <c r="C47" s="41"/>
      <c r="D47" s="41"/>
      <c r="E47" s="41"/>
      <c r="F47" s="41"/>
      <c r="G47" s="41"/>
      <c r="H47" s="42">
        <f>H43+H45</f>
        <v>-561323.90639999998</v>
      </c>
      <c r="I47" s="42">
        <f t="shared" ref="I47:L47" si="4">I43+I45</f>
        <v>754450.62281400012</v>
      </c>
      <c r="J47" s="42">
        <f t="shared" si="4"/>
        <v>415508.1882782185</v>
      </c>
      <c r="K47" s="42">
        <f t="shared" si="4"/>
        <v>462616.13247220311</v>
      </c>
      <c r="L47" s="42">
        <f t="shared" si="4"/>
        <v>510806.83064853586</v>
      </c>
      <c r="M47" s="41"/>
      <c r="N47" s="43">
        <f>SUM(E47:M47)</f>
        <v>1582057.8678129576</v>
      </c>
    </row>
    <row r="48" spans="2:14" ht="15.75" thickTop="1" x14ac:dyDescent="0.25">
      <c r="I48" s="105">
        <f>I43/-I45</f>
        <v>1.620273137672652</v>
      </c>
      <c r="J48" s="105">
        <f t="shared" ref="J48:L48" si="5">J43/-J45</f>
        <v>1.2604409933249088</v>
      </c>
      <c r="K48" s="105">
        <f t="shared" si="5"/>
        <v>1.2899683050012811</v>
      </c>
      <c r="L48" s="105">
        <f t="shared" si="5"/>
        <v>1.320174288074859</v>
      </c>
    </row>
    <row r="49" spans="2:14" x14ac:dyDescent="0.25">
      <c r="I49" s="106"/>
      <c r="J49" s="45"/>
      <c r="K49" s="45"/>
      <c r="L49" s="45"/>
    </row>
    <row r="50" spans="2:14" x14ac:dyDescent="0.25">
      <c r="B50" s="5" t="s">
        <v>68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2" spans="2:14" x14ac:dyDescent="0.25">
      <c r="B52" t="s">
        <v>69</v>
      </c>
      <c r="L52" s="18">
        <f>L$43/$J$5</f>
        <v>38294713.456903026</v>
      </c>
      <c r="N52" s="9">
        <f>SUM(E52:M52)</f>
        <v>38294713.456903026</v>
      </c>
    </row>
    <row r="53" spans="2:14" x14ac:dyDescent="0.25">
      <c r="B53" s="19" t="s">
        <v>70</v>
      </c>
      <c r="C53" s="19"/>
      <c r="D53" s="19"/>
      <c r="E53" s="19"/>
      <c r="F53" s="19"/>
      <c r="G53" s="19"/>
      <c r="H53" s="19"/>
      <c r="I53" s="19"/>
      <c r="J53" s="19"/>
      <c r="K53" s="19"/>
      <c r="L53" s="38">
        <f>-L52*$J$6</f>
        <v>-765894.26913806051</v>
      </c>
      <c r="M53" s="19"/>
      <c r="N53" s="20">
        <f>SUM(E53:M53)</f>
        <v>-765894.26913806051</v>
      </c>
    </row>
    <row r="54" spans="2:14" x14ac:dyDescent="0.25">
      <c r="B54" s="23" t="s">
        <v>71</v>
      </c>
      <c r="C54" s="23"/>
      <c r="D54" s="23"/>
      <c r="E54" s="23"/>
      <c r="F54" s="23"/>
      <c r="G54" s="23"/>
      <c r="H54" s="23"/>
      <c r="I54" s="23"/>
      <c r="J54" s="23"/>
      <c r="K54" s="23"/>
      <c r="L54" s="39">
        <f>SUM(L52:L53)</f>
        <v>37528819.187764965</v>
      </c>
      <c r="M54" s="23"/>
      <c r="N54" s="24">
        <f>SUM(E54:M54)</f>
        <v>37528819.187764965</v>
      </c>
    </row>
    <row r="56" spans="2:14" x14ac:dyDescent="0.25">
      <c r="M56" s="49"/>
    </row>
    <row r="57" spans="2:14" x14ac:dyDescent="0.25">
      <c r="B57" s="5" t="s">
        <v>72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9" spans="2:14" x14ac:dyDescent="0.25">
      <c r="B59" t="s">
        <v>55</v>
      </c>
      <c r="F59" s="18">
        <f>-MIN(F34,G7)</f>
        <v>-8968799.8836342543</v>
      </c>
      <c r="N59" s="9">
        <f>SUM(E59:M59)</f>
        <v>-8968799.8836342543</v>
      </c>
    </row>
    <row r="60" spans="2:14" x14ac:dyDescent="0.25">
      <c r="M60" s="49"/>
    </row>
    <row r="62" spans="2:14" x14ac:dyDescent="0.25">
      <c r="B62" s="5" t="s">
        <v>41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4" spans="2:14" x14ac:dyDescent="0.25">
      <c r="B64" s="23" t="s">
        <v>73</v>
      </c>
    </row>
    <row r="65" spans="2:14" x14ac:dyDescent="0.25">
      <c r="B65" t="s">
        <v>76</v>
      </c>
      <c r="E65" s="8"/>
      <c r="F65" s="9">
        <f>SUMIF(Debt!$F$6:$AE$6,'Cash Flow'!F$21,Debt!$F$22:$AE$22)</f>
        <v>3370739.9999999944</v>
      </c>
      <c r="G65" s="9">
        <f>SUMIF(Debt!$F$6:$AE$6,'Cash Flow'!G$21,Debt!$F$22:$AE$22)</f>
        <v>17564260.000000004</v>
      </c>
      <c r="H65" s="9">
        <f>SUMIF(Debt!$F$6:$AE$6,'Cash Flow'!H$21,Debt!$F$22:$AE$22)</f>
        <v>0</v>
      </c>
      <c r="I65" s="9">
        <f>SUMIF(Debt!$F$6:$AE$6,'Cash Flow'!I$21,Debt!$F$22:$AE$22)</f>
        <v>0</v>
      </c>
      <c r="J65" s="9">
        <f>SUMIF(Debt!$F$6:$AE$6,'Cash Flow'!J$21,Debt!$F$22:$AE$22)</f>
        <v>0</v>
      </c>
      <c r="K65" s="9">
        <f>SUMIF(Debt!$F$6:$AE$6,'Cash Flow'!K$21,Debt!$F$22:$AE$22)</f>
        <v>0</v>
      </c>
      <c r="L65" s="9">
        <f>SUMIF(Debt!$F$6:$AE$6,'Cash Flow'!L$21,Debt!$F$22:$AE$22)</f>
        <v>0</v>
      </c>
      <c r="M65" s="9"/>
      <c r="N65" s="9">
        <f t="shared" ref="N65:N66" si="6">SUM(E65:M65)</f>
        <v>20935000</v>
      </c>
    </row>
    <row r="66" spans="2:14" x14ac:dyDescent="0.25">
      <c r="B66" t="s">
        <v>78</v>
      </c>
      <c r="E66" s="8"/>
      <c r="F66" s="9">
        <f>SUMIF(Debt!$F$6:$AE$6,'Cash Flow'!F$21,Debt!$F$24:$AE$24)</f>
        <v>0</v>
      </c>
      <c r="G66" s="9">
        <f>SUMIF(Debt!$F$6:$AE$6,'Cash Flow'!G$21,Debt!$F$24:$AE$24)</f>
        <v>0</v>
      </c>
      <c r="H66" s="9">
        <f>-SUMIF(Debt!$F$6:$AE$6,'Cash Flow'!H$21,Debt!$F$24:$AE$24)</f>
        <v>-21549413.261250749</v>
      </c>
      <c r="I66" s="9">
        <f>SUMIF(Debt!$F$6:$AE$6,'Cash Flow'!I$21,Debt!$F$24:$AE$24)</f>
        <v>0</v>
      </c>
      <c r="J66" s="9">
        <f>SUMIF(Debt!$F$6:$AE$6,'Cash Flow'!J$21,Debt!$F$24:$AE$24)</f>
        <v>0</v>
      </c>
      <c r="K66" s="9">
        <f>SUMIF(Debt!$F$6:$AE$6,'Cash Flow'!K$21,Debt!$F$24:$AE$24)</f>
        <v>0</v>
      </c>
      <c r="L66" s="9">
        <f>SUMIF(Debt!$F$6:$AE$6,'Cash Flow'!L$21,Debt!$F$24:$AE$24)</f>
        <v>0</v>
      </c>
      <c r="M66" s="9"/>
      <c r="N66" s="9">
        <f t="shared" si="6"/>
        <v>-21549413.261250749</v>
      </c>
    </row>
    <row r="67" spans="2:14" x14ac:dyDescent="0.25">
      <c r="E67" s="8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25">
      <c r="B68" s="50" t="s">
        <v>74</v>
      </c>
      <c r="C68" s="32"/>
      <c r="D68" s="32"/>
      <c r="E68" s="101"/>
      <c r="F68" s="31"/>
      <c r="G68" s="31"/>
      <c r="H68" s="31"/>
      <c r="I68" s="31"/>
      <c r="J68" s="31"/>
      <c r="K68" s="31"/>
      <c r="L68" s="31"/>
      <c r="M68" s="9"/>
      <c r="N68" s="9"/>
    </row>
    <row r="69" spans="2:14" x14ac:dyDescent="0.25">
      <c r="B69" s="32" t="s">
        <v>81</v>
      </c>
      <c r="C69" s="32"/>
      <c r="D69" s="32"/>
      <c r="E69" s="101"/>
      <c r="F69" s="31">
        <f>Debt!F44</f>
        <v>0</v>
      </c>
      <c r="G69" s="31">
        <f>Debt!G44</f>
        <v>0</v>
      </c>
      <c r="H69" s="31">
        <f>Debt!H44</f>
        <v>25340000</v>
      </c>
      <c r="I69" s="31">
        <f>Debt!I44</f>
        <v>0</v>
      </c>
      <c r="J69" s="31">
        <f>Debt!J44</f>
        <v>0</v>
      </c>
      <c r="K69" s="31">
        <f>Debt!K44</f>
        <v>0</v>
      </c>
      <c r="L69" s="31">
        <f>Debt!L44</f>
        <v>0</v>
      </c>
      <c r="M69" s="9"/>
      <c r="N69" s="9">
        <f t="shared" ref="N69:N70" si="7">SUM(E69:M69)</f>
        <v>25340000</v>
      </c>
    </row>
    <row r="70" spans="2:14" x14ac:dyDescent="0.25">
      <c r="B70" s="32" t="s">
        <v>78</v>
      </c>
      <c r="C70" s="32"/>
      <c r="D70" s="32"/>
      <c r="E70" s="101"/>
      <c r="F70" s="31">
        <f>Debt!F48</f>
        <v>0</v>
      </c>
      <c r="G70" s="31">
        <f>Debt!G48</f>
        <v>0</v>
      </c>
      <c r="H70" s="31">
        <f>Debt!H48</f>
        <v>0</v>
      </c>
      <c r="I70" s="31">
        <f>Debt!I48</f>
        <v>0</v>
      </c>
      <c r="J70" s="31">
        <f>Debt!J48</f>
        <v>0</v>
      </c>
      <c r="K70" s="31">
        <f>Debt!K48</f>
        <v>0</v>
      </c>
      <c r="L70" s="31">
        <f>Debt!L48</f>
        <v>24147291.498719882</v>
      </c>
      <c r="M70" s="9"/>
      <c r="N70" s="9">
        <f t="shared" si="7"/>
        <v>24147291.498719882</v>
      </c>
    </row>
    <row r="71" spans="2:14" x14ac:dyDescent="0.25">
      <c r="E71" s="8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25">
      <c r="E72" s="8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25">
      <c r="B73" s="5" t="s">
        <v>83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2:14" x14ac:dyDescent="0.25"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25">
      <c r="B75" s="23" t="s">
        <v>66</v>
      </c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25">
      <c r="B76" t="s">
        <v>13</v>
      </c>
      <c r="F76" s="9">
        <f t="shared" ref="F76:L76" si="8">-F34</f>
        <v>-12339539.883634251</v>
      </c>
      <c r="G76" s="9">
        <f t="shared" si="8"/>
        <v>-17564260.000000004</v>
      </c>
      <c r="H76" s="9">
        <f t="shared" si="8"/>
        <v>0</v>
      </c>
      <c r="I76" s="9">
        <f t="shared" si="8"/>
        <v>0</v>
      </c>
      <c r="J76" s="9">
        <f t="shared" si="8"/>
        <v>0</v>
      </c>
      <c r="K76" s="9">
        <f t="shared" si="8"/>
        <v>0</v>
      </c>
      <c r="L76" s="9">
        <f t="shared" si="8"/>
        <v>0</v>
      </c>
      <c r="M76" s="9"/>
      <c r="N76" s="9">
        <f>SUM(F76:M76)</f>
        <v>-29903799.883634254</v>
      </c>
    </row>
    <row r="77" spans="2:14" x14ac:dyDescent="0.25">
      <c r="B77" t="s">
        <v>38</v>
      </c>
      <c r="F77" s="9">
        <f t="shared" ref="F77:L77" si="9">F43</f>
        <v>0</v>
      </c>
      <c r="G77" s="9">
        <f t="shared" si="9"/>
        <v>0</v>
      </c>
      <c r="H77" s="9">
        <f t="shared" si="9"/>
        <v>654996.09360000002</v>
      </c>
      <c r="I77" s="9">
        <f t="shared" si="9"/>
        <v>1970770.6228140001</v>
      </c>
      <c r="J77" s="9">
        <f t="shared" si="9"/>
        <v>2010910.597759349</v>
      </c>
      <c r="K77" s="9">
        <f t="shared" si="9"/>
        <v>2058018.5419533337</v>
      </c>
      <c r="L77" s="9">
        <f t="shared" si="9"/>
        <v>2106209.2401296664</v>
      </c>
      <c r="M77" s="9"/>
      <c r="N77" s="9">
        <f>SUM(F77:M77)</f>
        <v>8800905.0962563492</v>
      </c>
    </row>
    <row r="78" spans="2:14" x14ac:dyDescent="0.25">
      <c r="B78" s="19" t="s">
        <v>71</v>
      </c>
      <c r="C78" s="19"/>
      <c r="D78" s="19"/>
      <c r="E78" s="19"/>
      <c r="F78" s="20">
        <f t="shared" ref="F78:L78" si="10">F54</f>
        <v>0</v>
      </c>
      <c r="G78" s="20">
        <f t="shared" si="10"/>
        <v>0</v>
      </c>
      <c r="H78" s="34">
        <f t="shared" si="10"/>
        <v>0</v>
      </c>
      <c r="I78" s="34">
        <f t="shared" si="10"/>
        <v>0</v>
      </c>
      <c r="J78" s="34">
        <f t="shared" si="10"/>
        <v>0</v>
      </c>
      <c r="K78" s="34">
        <f t="shared" si="10"/>
        <v>0</v>
      </c>
      <c r="L78" s="20">
        <f t="shared" si="10"/>
        <v>37528819.187764965</v>
      </c>
      <c r="M78" s="20"/>
      <c r="N78" s="20">
        <f>SUM(F78:M78)</f>
        <v>37528819.187764965</v>
      </c>
    </row>
    <row r="79" spans="2:14" x14ac:dyDescent="0.25">
      <c r="B79" s="23" t="s">
        <v>84</v>
      </c>
      <c r="C79" s="23"/>
      <c r="D79" s="23"/>
      <c r="E79" s="23"/>
      <c r="F79" s="24">
        <f>SUM(F76:F78)</f>
        <v>-12339539.883634251</v>
      </c>
      <c r="G79" s="24">
        <f t="shared" ref="G79:L79" si="11">SUM(G76:G78)</f>
        <v>-17564260.000000004</v>
      </c>
      <c r="H79" s="62">
        <f t="shared" si="11"/>
        <v>654996.09360000002</v>
      </c>
      <c r="I79" s="62">
        <f t="shared" si="11"/>
        <v>1970770.6228140001</v>
      </c>
      <c r="J79" s="62">
        <f t="shared" si="11"/>
        <v>2010910.597759349</v>
      </c>
      <c r="K79" s="62">
        <f t="shared" si="11"/>
        <v>2058018.5419533337</v>
      </c>
      <c r="L79" s="24">
        <f t="shared" si="11"/>
        <v>39635028.42789463</v>
      </c>
      <c r="M79" s="24"/>
      <c r="N79" s="24">
        <f>SUM(F79:M79)</f>
        <v>16425924.400387056</v>
      </c>
    </row>
    <row r="80" spans="2:14" x14ac:dyDescent="0.25">
      <c r="B80" s="45" t="s">
        <v>85</v>
      </c>
      <c r="C80" s="45"/>
      <c r="D80" s="45"/>
      <c r="E80" s="45"/>
      <c r="F80" s="46">
        <f t="shared" ref="F80:L80" si="12">F77/$G$17</f>
        <v>0</v>
      </c>
      <c r="G80" s="46">
        <f t="shared" si="12"/>
        <v>0</v>
      </c>
      <c r="H80" s="63">
        <f t="shared" si="12"/>
        <v>2.1903440236652538E-2</v>
      </c>
      <c r="I80" s="63">
        <f t="shared" si="12"/>
        <v>6.5903685500937392E-2</v>
      </c>
      <c r="J80" s="63">
        <f t="shared" si="12"/>
        <v>6.7245988990846606E-2</v>
      </c>
      <c r="K80" s="63">
        <f t="shared" si="12"/>
        <v>6.882130531777822E-2</v>
      </c>
      <c r="L80" s="46">
        <f t="shared" si="12"/>
        <v>7.0432829550947873E-2</v>
      </c>
      <c r="M80" s="9"/>
      <c r="N80" s="9"/>
    </row>
    <row r="81" spans="2:14" x14ac:dyDescent="0.25">
      <c r="B81" s="47" t="s">
        <v>86</v>
      </c>
      <c r="C81" s="17">
        <f>IRR(F79:L79)</f>
        <v>9.0112097718183071E-2</v>
      </c>
      <c r="F81" s="9"/>
      <c r="G81" s="9"/>
      <c r="H81" s="31"/>
      <c r="I81" s="64">
        <f>I80-D16</f>
        <v>1.3403685500937394E-2</v>
      </c>
      <c r="J81" s="31"/>
      <c r="K81" s="31"/>
      <c r="L81" s="9"/>
      <c r="M81" s="9"/>
      <c r="N81" s="9"/>
    </row>
    <row r="82" spans="2:14" x14ac:dyDescent="0.25">
      <c r="B82" s="47" t="s">
        <v>92</v>
      </c>
      <c r="C82" s="28">
        <f>SUM(N77:N78)/-N76</f>
        <v>1.5492922125049613</v>
      </c>
      <c r="F82" s="9"/>
      <c r="G82" s="9"/>
      <c r="H82" s="31"/>
      <c r="I82" s="31">
        <f>I81*10000</f>
        <v>134.03685500937394</v>
      </c>
      <c r="J82" s="31" t="s">
        <v>93</v>
      </c>
      <c r="K82" s="31"/>
      <c r="L82" s="9"/>
      <c r="M82" s="9"/>
      <c r="N82" s="9"/>
    </row>
    <row r="83" spans="2:14" x14ac:dyDescent="0.25">
      <c r="F83" s="9"/>
      <c r="G83" s="9"/>
      <c r="H83" s="31"/>
      <c r="I83" s="31"/>
      <c r="J83" s="31"/>
      <c r="K83" s="31"/>
      <c r="L83" s="9"/>
      <c r="M83" s="9"/>
      <c r="N83" s="9"/>
    </row>
    <row r="84" spans="2:14" x14ac:dyDescent="0.25">
      <c r="F84" s="9"/>
      <c r="G84" s="9"/>
      <c r="H84" s="31"/>
      <c r="I84" s="31"/>
      <c r="J84" s="31"/>
      <c r="K84" s="31"/>
      <c r="L84" s="9"/>
      <c r="M84" s="9"/>
      <c r="N84" s="9"/>
    </row>
    <row r="85" spans="2:14" x14ac:dyDescent="0.25">
      <c r="B85" s="23" t="s">
        <v>67</v>
      </c>
      <c r="F85" s="9"/>
      <c r="G85" s="9"/>
      <c r="H85" s="31"/>
      <c r="I85" s="31"/>
      <c r="J85" s="31"/>
      <c r="K85" s="31"/>
      <c r="L85" s="9"/>
      <c r="M85" s="9"/>
      <c r="N85" s="9"/>
    </row>
    <row r="86" spans="2:14" x14ac:dyDescent="0.25">
      <c r="B86" t="s">
        <v>87</v>
      </c>
      <c r="F86" s="18">
        <f t="shared" ref="F86:L86" si="13">F59</f>
        <v>-8968799.8836342543</v>
      </c>
      <c r="G86" s="18">
        <f t="shared" si="13"/>
        <v>0</v>
      </c>
      <c r="H86" s="18">
        <f t="shared" si="13"/>
        <v>0</v>
      </c>
      <c r="I86" s="18">
        <f t="shared" si="13"/>
        <v>0</v>
      </c>
      <c r="J86" s="18">
        <f t="shared" si="13"/>
        <v>0</v>
      </c>
      <c r="K86" s="18">
        <f t="shared" si="13"/>
        <v>0</v>
      </c>
      <c r="L86" s="18">
        <f t="shared" si="13"/>
        <v>0</v>
      </c>
      <c r="N86" s="9">
        <f t="shared" ref="N86:N92" si="14">SUM(F86:M86)</f>
        <v>-8968799.8836342543</v>
      </c>
    </row>
    <row r="87" spans="2:14" x14ac:dyDescent="0.25">
      <c r="B87" t="s">
        <v>88</v>
      </c>
      <c r="F87" s="18">
        <f>F66</f>
        <v>0</v>
      </c>
      <c r="G87" s="18">
        <f t="shared" ref="G87:L87" si="15">G66</f>
        <v>0</v>
      </c>
      <c r="H87" s="18">
        <f t="shared" si="15"/>
        <v>-21549413.261250749</v>
      </c>
      <c r="I87" s="18">
        <f t="shared" si="15"/>
        <v>0</v>
      </c>
      <c r="J87" s="18">
        <f t="shared" si="15"/>
        <v>0</v>
      </c>
      <c r="K87" s="18">
        <f t="shared" si="15"/>
        <v>0</v>
      </c>
      <c r="L87" s="18">
        <f t="shared" si="15"/>
        <v>0</v>
      </c>
      <c r="N87" s="9">
        <f t="shared" si="14"/>
        <v>-21549413.261250749</v>
      </c>
    </row>
    <row r="88" spans="2:14" x14ac:dyDescent="0.25">
      <c r="B88" t="s">
        <v>89</v>
      </c>
      <c r="F88" s="18">
        <f t="shared" ref="F88:L88" si="16">F69</f>
        <v>0</v>
      </c>
      <c r="G88" s="18">
        <f t="shared" si="16"/>
        <v>0</v>
      </c>
      <c r="H88" s="18">
        <f t="shared" si="16"/>
        <v>25340000</v>
      </c>
      <c r="I88" s="18">
        <f t="shared" si="16"/>
        <v>0</v>
      </c>
      <c r="J88" s="18">
        <f t="shared" si="16"/>
        <v>0</v>
      </c>
      <c r="K88" s="18">
        <f t="shared" si="16"/>
        <v>0</v>
      </c>
      <c r="L88" s="18">
        <f t="shared" si="16"/>
        <v>0</v>
      </c>
      <c r="N88" s="9">
        <f t="shared" si="14"/>
        <v>25340000</v>
      </c>
    </row>
    <row r="89" spans="2:14" x14ac:dyDescent="0.25">
      <c r="B89" t="s">
        <v>40</v>
      </c>
      <c r="F89" s="9">
        <f t="shared" ref="F89:L89" si="17">F47</f>
        <v>0</v>
      </c>
      <c r="G89" s="9">
        <f t="shared" si="17"/>
        <v>0</v>
      </c>
      <c r="H89" s="9">
        <f t="shared" si="17"/>
        <v>-561323.90639999998</v>
      </c>
      <c r="I89" s="9">
        <f t="shared" si="17"/>
        <v>754450.62281400012</v>
      </c>
      <c r="J89" s="9">
        <f t="shared" si="17"/>
        <v>415508.1882782185</v>
      </c>
      <c r="K89" s="9">
        <f t="shared" si="17"/>
        <v>462616.13247220311</v>
      </c>
      <c r="L89" s="9">
        <f t="shared" si="17"/>
        <v>510806.83064853586</v>
      </c>
      <c r="N89" s="9">
        <f t="shared" si="14"/>
        <v>1582057.8678129576</v>
      </c>
    </row>
    <row r="90" spans="2:14" x14ac:dyDescent="0.25">
      <c r="B90" t="s">
        <v>71</v>
      </c>
      <c r="F90" s="9">
        <f t="shared" ref="F90:L90" si="18">F54</f>
        <v>0</v>
      </c>
      <c r="G90" s="9">
        <f t="shared" si="18"/>
        <v>0</v>
      </c>
      <c r="H90" s="9">
        <f t="shared" si="18"/>
        <v>0</v>
      </c>
      <c r="I90" s="9">
        <f t="shared" si="18"/>
        <v>0</v>
      </c>
      <c r="J90" s="9">
        <f t="shared" si="18"/>
        <v>0</v>
      </c>
      <c r="K90" s="9">
        <f t="shared" si="18"/>
        <v>0</v>
      </c>
      <c r="L90" s="9">
        <f t="shared" si="18"/>
        <v>37528819.187764965</v>
      </c>
      <c r="N90" s="9">
        <f t="shared" si="14"/>
        <v>37528819.187764965</v>
      </c>
    </row>
    <row r="91" spans="2:14" x14ac:dyDescent="0.25">
      <c r="B91" s="19" t="s">
        <v>90</v>
      </c>
      <c r="C91" s="19"/>
      <c r="D91" s="19"/>
      <c r="E91" s="19"/>
      <c r="F91" s="20">
        <f t="shared" ref="F91:L91" si="19">-F70</f>
        <v>0</v>
      </c>
      <c r="G91" s="20">
        <f t="shared" si="19"/>
        <v>0</v>
      </c>
      <c r="H91" s="20">
        <f t="shared" si="19"/>
        <v>0</v>
      </c>
      <c r="I91" s="20">
        <f t="shared" si="19"/>
        <v>0</v>
      </c>
      <c r="J91" s="20">
        <f t="shared" si="19"/>
        <v>0</v>
      </c>
      <c r="K91" s="20">
        <f t="shared" si="19"/>
        <v>0</v>
      </c>
      <c r="L91" s="20">
        <f t="shared" si="19"/>
        <v>-24147291.498719882</v>
      </c>
      <c r="M91" s="19"/>
      <c r="N91" s="20">
        <f t="shared" si="14"/>
        <v>-24147291.498719882</v>
      </c>
    </row>
    <row r="92" spans="2:14" x14ac:dyDescent="0.25">
      <c r="B92" s="29" t="s">
        <v>91</v>
      </c>
      <c r="C92" s="23"/>
      <c r="D92" s="23"/>
      <c r="E92" s="23"/>
      <c r="F92" s="24">
        <f>SUM(F86:F91)</f>
        <v>-8968799.8836342543</v>
      </c>
      <c r="G92" s="24">
        <f t="shared" ref="G92:L92" si="20">SUM(G86:G91)</f>
        <v>0</v>
      </c>
      <c r="H92" s="24">
        <f t="shared" si="20"/>
        <v>3229262.832349251</v>
      </c>
      <c r="I92" s="24">
        <f t="shared" si="20"/>
        <v>754450.62281400012</v>
      </c>
      <c r="J92" s="24">
        <f t="shared" si="20"/>
        <v>415508.1882782185</v>
      </c>
      <c r="K92" s="24">
        <f t="shared" si="20"/>
        <v>462616.13247220311</v>
      </c>
      <c r="L92" s="24">
        <f t="shared" si="20"/>
        <v>13892334.519693617</v>
      </c>
      <c r="M92" s="23"/>
      <c r="N92" s="24">
        <f t="shared" si="14"/>
        <v>9785372.4119730368</v>
      </c>
    </row>
    <row r="93" spans="2:14" x14ac:dyDescent="0.25">
      <c r="B93" s="45" t="s">
        <v>85</v>
      </c>
      <c r="C93" s="45"/>
      <c r="F93" s="44"/>
      <c r="G93" s="44"/>
      <c r="H93" s="44"/>
      <c r="I93" s="107">
        <f>I89/$G$7</f>
        <v>8.4119462202593892E-2</v>
      </c>
      <c r="J93" s="107">
        <f>J89/$G$7</f>
        <v>4.6328181436672895E-2</v>
      </c>
      <c r="K93" s="107">
        <f>K89/$G$7</f>
        <v>5.1580605931051959E-2</v>
      </c>
      <c r="L93" s="107">
        <f>L89/$G$7</f>
        <v>5.6953754936669571E-2</v>
      </c>
    </row>
    <row r="94" spans="2:14" x14ac:dyDescent="0.25">
      <c r="B94" s="47" t="s">
        <v>86</v>
      </c>
      <c r="C94" s="17">
        <f>IRR(F92:L92)</f>
        <v>0.16181542268474192</v>
      </c>
    </row>
    <row r="95" spans="2:14" x14ac:dyDescent="0.25">
      <c r="B95" s="47" t="s">
        <v>92</v>
      </c>
      <c r="C95" s="28">
        <f>SUM(N87:N91)/-N86</f>
        <v>2.0910459079178265</v>
      </c>
    </row>
    <row r="102" spans="3:11" x14ac:dyDescent="0.25">
      <c r="C102" s="17"/>
      <c r="F102" s="18"/>
      <c r="G102" s="18"/>
      <c r="H102" s="18"/>
      <c r="I102" s="18"/>
      <c r="J102" s="18"/>
      <c r="K102" s="18"/>
    </row>
    <row r="103" spans="3:11" x14ac:dyDescent="0.25">
      <c r="F103" s="18"/>
      <c r="G103" s="18"/>
    </row>
    <row r="104" spans="3:11" x14ac:dyDescent="0.25">
      <c r="H104" s="18"/>
      <c r="I104" s="18"/>
      <c r="J104" s="18"/>
      <c r="K104" s="18"/>
    </row>
    <row r="105" spans="3:11" x14ac:dyDescent="0.25">
      <c r="C105" s="17"/>
      <c r="F105" s="18"/>
      <c r="G105" s="18"/>
      <c r="H105" s="18"/>
      <c r="I105" s="18"/>
      <c r="J105" s="18"/>
      <c r="K105" s="18"/>
    </row>
    <row r="115" spans="5:5" x14ac:dyDescent="0.25">
      <c r="E115" s="4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0C79-7605-421D-B4DB-CC1276BAE148}">
  <dimension ref="A1:AH47"/>
  <sheetViews>
    <sheetView topLeftCell="A4" zoomScale="80" zoomScaleNormal="80" workbookViewId="0">
      <selection activeCell="M31" sqref="M31"/>
    </sheetView>
  </sheetViews>
  <sheetFormatPr defaultRowHeight="15" x14ac:dyDescent="0.25"/>
  <cols>
    <col min="2" max="2" width="23.140625" bestFit="1" customWidth="1"/>
    <col min="3" max="3" width="10.140625" bestFit="1" customWidth="1"/>
    <col min="4" max="4" width="30.85546875" customWidth="1"/>
    <col min="6" max="6" width="10.28515625" bestFit="1" customWidth="1"/>
    <col min="7" max="7" width="8.85546875" bestFit="1" customWidth="1"/>
    <col min="9" max="32" width="12.85546875" bestFit="1" customWidth="1"/>
    <col min="33" max="33" width="12.85546875" customWidth="1"/>
    <col min="34" max="34" width="13.85546875" bestFit="1" customWidth="1"/>
  </cols>
  <sheetData>
    <row r="1" spans="1:34" x14ac:dyDescent="0.25">
      <c r="A1" s="86" t="str">
        <f>'Cash Flow'!$A$1</f>
        <v>Final Class Model</v>
      </c>
    </row>
    <row r="2" spans="1:34" x14ac:dyDescent="0.25">
      <c r="A2" s="23" t="s">
        <v>29</v>
      </c>
    </row>
    <row r="3" spans="1:34" x14ac:dyDescent="0.25">
      <c r="A3" s="23"/>
    </row>
    <row r="5" spans="1:34" x14ac:dyDescent="0.25">
      <c r="B5" s="1" t="s">
        <v>124</v>
      </c>
      <c r="C5" s="87" t="s">
        <v>125</v>
      </c>
      <c r="D5" s="87" t="s">
        <v>126</v>
      </c>
      <c r="E5" s="1"/>
      <c r="F5" s="1" t="s">
        <v>127</v>
      </c>
      <c r="G5" s="1" t="s">
        <v>128</v>
      </c>
      <c r="H5" s="1"/>
      <c r="I5" s="1">
        <v>1</v>
      </c>
      <c r="J5" s="1">
        <f>I5+1</f>
        <v>2</v>
      </c>
      <c r="K5" s="1">
        <f t="shared" ref="K5:P5" si="0">J5+1</f>
        <v>3</v>
      </c>
      <c r="L5" s="1">
        <f t="shared" si="0"/>
        <v>4</v>
      </c>
      <c r="M5" s="1">
        <f t="shared" si="0"/>
        <v>5</v>
      </c>
      <c r="N5" s="1">
        <f t="shared" si="0"/>
        <v>6</v>
      </c>
      <c r="O5" s="1">
        <f t="shared" si="0"/>
        <v>7</v>
      </c>
      <c r="P5" s="1">
        <f t="shared" si="0"/>
        <v>8</v>
      </c>
      <c r="Q5" s="1">
        <f t="shared" ref="Q5" si="1">P5+1</f>
        <v>9</v>
      </c>
      <c r="R5" s="1">
        <f t="shared" ref="R5" si="2">Q5+1</f>
        <v>10</v>
      </c>
      <c r="S5" s="1">
        <f t="shared" ref="S5" si="3">R5+1</f>
        <v>11</v>
      </c>
      <c r="T5" s="1">
        <f t="shared" ref="T5" si="4">S5+1</f>
        <v>12</v>
      </c>
      <c r="U5" s="1">
        <f t="shared" ref="U5" si="5">T5+1</f>
        <v>13</v>
      </c>
      <c r="V5" s="1">
        <f t="shared" ref="V5" si="6">U5+1</f>
        <v>14</v>
      </c>
      <c r="W5" s="1">
        <f t="shared" ref="W5" si="7">V5+1</f>
        <v>15</v>
      </c>
      <c r="X5" s="1">
        <f t="shared" ref="X5" si="8">W5+1</f>
        <v>16</v>
      </c>
      <c r="Y5" s="1">
        <f t="shared" ref="Y5" si="9">X5+1</f>
        <v>17</v>
      </c>
      <c r="Z5" s="1">
        <f t="shared" ref="Z5" si="10">Y5+1</f>
        <v>18</v>
      </c>
      <c r="AA5" s="1">
        <f t="shared" ref="AA5" si="11">Z5+1</f>
        <v>19</v>
      </c>
      <c r="AB5" s="1">
        <f t="shared" ref="AB5" si="12">AA5+1</f>
        <v>20</v>
      </c>
      <c r="AC5" s="1">
        <f t="shared" ref="AC5" si="13">AB5+1</f>
        <v>21</v>
      </c>
      <c r="AD5" s="1">
        <f t="shared" ref="AD5" si="14">AC5+1</f>
        <v>22</v>
      </c>
      <c r="AE5" s="1">
        <f t="shared" ref="AE5" si="15">AD5+1</f>
        <v>23</v>
      </c>
      <c r="AF5" s="1">
        <f t="shared" ref="AF5" si="16">AE5+1</f>
        <v>24</v>
      </c>
      <c r="AG5" s="1"/>
      <c r="AH5" s="7" t="s">
        <v>27</v>
      </c>
    </row>
    <row r="6" spans="1:34" x14ac:dyDescent="0.25">
      <c r="B6" t="s">
        <v>142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f>I6+1</f>
        <v>2</v>
      </c>
      <c r="V6">
        <f t="shared" ref="V6:AF6" si="17">J6+1</f>
        <v>2</v>
      </c>
      <c r="W6">
        <f t="shared" si="17"/>
        <v>2</v>
      </c>
      <c r="X6">
        <f t="shared" si="17"/>
        <v>2</v>
      </c>
      <c r="Y6">
        <f t="shared" si="17"/>
        <v>2</v>
      </c>
      <c r="Z6">
        <f t="shared" si="17"/>
        <v>2</v>
      </c>
      <c r="AA6">
        <f t="shared" si="17"/>
        <v>2</v>
      </c>
      <c r="AB6">
        <f t="shared" si="17"/>
        <v>2</v>
      </c>
      <c r="AC6">
        <f t="shared" si="17"/>
        <v>2</v>
      </c>
      <c r="AD6">
        <f t="shared" si="17"/>
        <v>2</v>
      </c>
      <c r="AE6">
        <f t="shared" si="17"/>
        <v>2</v>
      </c>
      <c r="AF6">
        <f t="shared" si="17"/>
        <v>2</v>
      </c>
    </row>
    <row r="8" spans="1:34" x14ac:dyDescent="0.25">
      <c r="B8" s="23" t="s">
        <v>20</v>
      </c>
      <c r="C8" s="93">
        <f>D8/'Cash Flow'!$C$9</f>
        <v>11.578947368421053</v>
      </c>
      <c r="D8" s="94">
        <v>1100000</v>
      </c>
      <c r="E8" s="23"/>
      <c r="F8" s="95">
        <v>1</v>
      </c>
      <c r="G8" s="95">
        <v>1</v>
      </c>
      <c r="H8" s="23"/>
      <c r="I8" s="24">
        <f t="shared" ref="I8:AF8" si="18">IF(AND(I$5&gt;=$F8,I$5&lt;$F8+$G8),$D8/$G8,0)</f>
        <v>1100000</v>
      </c>
      <c r="J8" s="24">
        <f t="shared" si="18"/>
        <v>0</v>
      </c>
      <c r="K8" s="24">
        <f t="shared" si="18"/>
        <v>0</v>
      </c>
      <c r="L8" s="24">
        <f t="shared" si="18"/>
        <v>0</v>
      </c>
      <c r="M8" s="24">
        <f t="shared" si="18"/>
        <v>0</v>
      </c>
      <c r="N8" s="24">
        <f t="shared" si="18"/>
        <v>0</v>
      </c>
      <c r="O8" s="24">
        <f t="shared" si="18"/>
        <v>0</v>
      </c>
      <c r="P8" s="24">
        <f t="shared" si="18"/>
        <v>0</v>
      </c>
      <c r="Q8" s="24">
        <f t="shared" si="18"/>
        <v>0</v>
      </c>
      <c r="R8" s="24">
        <f t="shared" si="18"/>
        <v>0</v>
      </c>
      <c r="S8" s="24">
        <f t="shared" si="18"/>
        <v>0</v>
      </c>
      <c r="T8" s="24">
        <f t="shared" si="18"/>
        <v>0</v>
      </c>
      <c r="U8" s="24">
        <f t="shared" si="18"/>
        <v>0</v>
      </c>
      <c r="V8" s="24">
        <f t="shared" si="18"/>
        <v>0</v>
      </c>
      <c r="W8" s="24">
        <f t="shared" si="18"/>
        <v>0</v>
      </c>
      <c r="X8" s="24">
        <f t="shared" si="18"/>
        <v>0</v>
      </c>
      <c r="Y8" s="24">
        <f t="shared" si="18"/>
        <v>0</v>
      </c>
      <c r="Z8" s="24">
        <f t="shared" si="18"/>
        <v>0</v>
      </c>
      <c r="AA8" s="24">
        <f t="shared" si="18"/>
        <v>0</v>
      </c>
      <c r="AB8" s="24">
        <f t="shared" si="18"/>
        <v>0</v>
      </c>
      <c r="AC8" s="24">
        <f t="shared" si="18"/>
        <v>0</v>
      </c>
      <c r="AD8" s="24">
        <f t="shared" si="18"/>
        <v>0</v>
      </c>
      <c r="AE8" s="24">
        <f t="shared" si="18"/>
        <v>0</v>
      </c>
      <c r="AF8" s="24">
        <f t="shared" si="18"/>
        <v>0</v>
      </c>
      <c r="AG8" s="24"/>
      <c r="AH8" s="24">
        <f>ROUND(SUM(I8:AF8),2)</f>
        <v>1100000</v>
      </c>
    </row>
    <row r="9" spans="1:34" x14ac:dyDescent="0.25">
      <c r="C9" s="4"/>
      <c r="AH9" s="18"/>
    </row>
    <row r="10" spans="1:34" x14ac:dyDescent="0.25">
      <c r="B10" s="23" t="s">
        <v>21</v>
      </c>
      <c r="C10" s="94">
        <v>236</v>
      </c>
      <c r="D10" s="39">
        <f>C10*'Cash Flow'!$C$9</f>
        <v>22420000</v>
      </c>
      <c r="E10" s="23"/>
      <c r="F10" s="95">
        <v>7</v>
      </c>
      <c r="G10" s="95">
        <v>18</v>
      </c>
      <c r="H10" s="23"/>
      <c r="I10" s="24">
        <f t="shared" ref="I10:AF10" si="19">IF(AND(I$5&gt;=$F10,I$5&lt;$F10+$G10),$D10/$G10,0)</f>
        <v>0</v>
      </c>
      <c r="J10" s="24">
        <f t="shared" si="19"/>
        <v>0</v>
      </c>
      <c r="K10" s="24">
        <f t="shared" si="19"/>
        <v>0</v>
      </c>
      <c r="L10" s="24">
        <f t="shared" si="19"/>
        <v>0</v>
      </c>
      <c r="M10" s="24">
        <f t="shared" si="19"/>
        <v>0</v>
      </c>
      <c r="N10" s="24">
        <f t="shared" si="19"/>
        <v>0</v>
      </c>
      <c r="O10" s="24">
        <f t="shared" si="19"/>
        <v>1245555.5555555555</v>
      </c>
      <c r="P10" s="24">
        <f t="shared" si="19"/>
        <v>1245555.5555555555</v>
      </c>
      <c r="Q10" s="24">
        <f t="shared" si="19"/>
        <v>1245555.5555555555</v>
      </c>
      <c r="R10" s="24">
        <f t="shared" si="19"/>
        <v>1245555.5555555555</v>
      </c>
      <c r="S10" s="24">
        <f t="shared" si="19"/>
        <v>1245555.5555555555</v>
      </c>
      <c r="T10" s="24">
        <f t="shared" si="19"/>
        <v>1245555.5555555555</v>
      </c>
      <c r="U10" s="24">
        <f t="shared" si="19"/>
        <v>1245555.5555555555</v>
      </c>
      <c r="V10" s="24">
        <f t="shared" si="19"/>
        <v>1245555.5555555555</v>
      </c>
      <c r="W10" s="24">
        <f t="shared" si="19"/>
        <v>1245555.5555555555</v>
      </c>
      <c r="X10" s="24">
        <f t="shared" si="19"/>
        <v>1245555.5555555555</v>
      </c>
      <c r="Y10" s="24">
        <f t="shared" si="19"/>
        <v>1245555.5555555555</v>
      </c>
      <c r="Z10" s="24">
        <f t="shared" si="19"/>
        <v>1245555.5555555555</v>
      </c>
      <c r="AA10" s="24">
        <f t="shared" si="19"/>
        <v>1245555.5555555555</v>
      </c>
      <c r="AB10" s="24">
        <f t="shared" si="19"/>
        <v>1245555.5555555555</v>
      </c>
      <c r="AC10" s="24">
        <f t="shared" si="19"/>
        <v>1245555.5555555555</v>
      </c>
      <c r="AD10" s="24">
        <f t="shared" si="19"/>
        <v>1245555.5555555555</v>
      </c>
      <c r="AE10" s="24">
        <f t="shared" si="19"/>
        <v>1245555.5555555555</v>
      </c>
      <c r="AF10" s="24">
        <f t="shared" si="19"/>
        <v>1245555.5555555555</v>
      </c>
      <c r="AG10" s="24"/>
      <c r="AH10" s="24">
        <f>ROUND(SUM(I10:AF10),2)</f>
        <v>22420000</v>
      </c>
    </row>
    <row r="11" spans="1:34" x14ac:dyDescent="0.25">
      <c r="C11" s="4"/>
      <c r="AH11" s="18"/>
    </row>
    <row r="12" spans="1:34" x14ac:dyDescent="0.25">
      <c r="B12" t="s">
        <v>129</v>
      </c>
      <c r="C12" s="88">
        <f>D12/'Cash Flow'!$C$9</f>
        <v>4.72</v>
      </c>
      <c r="D12" s="4">
        <f>D10*2%</f>
        <v>448400</v>
      </c>
      <c r="F12" s="89">
        <v>2</v>
      </c>
      <c r="G12" s="89">
        <v>6</v>
      </c>
      <c r="I12" s="9">
        <f t="shared" ref="I12:R23" si="20">IF(AND(I$5&gt;=$F12,I$5&lt;$F12+$G12),$D12/$G12,0)</f>
        <v>0</v>
      </c>
      <c r="J12" s="9">
        <f t="shared" si="20"/>
        <v>74733.333333333328</v>
      </c>
      <c r="K12" s="9">
        <f t="shared" si="20"/>
        <v>74733.333333333328</v>
      </c>
      <c r="L12" s="9">
        <f t="shared" si="20"/>
        <v>74733.333333333328</v>
      </c>
      <c r="M12" s="9">
        <f t="shared" si="20"/>
        <v>74733.333333333328</v>
      </c>
      <c r="N12" s="9">
        <f t="shared" si="20"/>
        <v>74733.333333333328</v>
      </c>
      <c r="O12" s="9">
        <f t="shared" si="20"/>
        <v>74733.333333333328</v>
      </c>
      <c r="P12" s="9">
        <f t="shared" si="20"/>
        <v>0</v>
      </c>
      <c r="Q12" s="9">
        <f t="shared" si="20"/>
        <v>0</v>
      </c>
      <c r="R12" s="9">
        <f t="shared" si="20"/>
        <v>0</v>
      </c>
      <c r="S12" s="9">
        <f t="shared" ref="S12:AF23" si="21">IF(AND(S$5&gt;=$F12,S$5&lt;$F12+$G12),$D12/$G12,0)</f>
        <v>0</v>
      </c>
      <c r="T12" s="9">
        <f t="shared" si="21"/>
        <v>0</v>
      </c>
      <c r="U12" s="9">
        <f t="shared" si="21"/>
        <v>0</v>
      </c>
      <c r="V12" s="9">
        <f t="shared" si="21"/>
        <v>0</v>
      </c>
      <c r="W12" s="9">
        <f t="shared" si="21"/>
        <v>0</v>
      </c>
      <c r="X12" s="9">
        <f t="shared" si="21"/>
        <v>0</v>
      </c>
      <c r="Y12" s="9">
        <f t="shared" si="21"/>
        <v>0</v>
      </c>
      <c r="Z12" s="9">
        <f t="shared" si="21"/>
        <v>0</v>
      </c>
      <c r="AA12" s="9">
        <f t="shared" si="21"/>
        <v>0</v>
      </c>
      <c r="AB12" s="9">
        <f t="shared" si="21"/>
        <v>0</v>
      </c>
      <c r="AC12" s="9">
        <f t="shared" si="21"/>
        <v>0</v>
      </c>
      <c r="AD12" s="9">
        <f t="shared" si="21"/>
        <v>0</v>
      </c>
      <c r="AE12" s="9">
        <f t="shared" si="21"/>
        <v>0</v>
      </c>
      <c r="AF12" s="9">
        <f t="shared" si="21"/>
        <v>0</v>
      </c>
      <c r="AG12" s="9"/>
      <c r="AH12" s="9">
        <f t="shared" ref="AH12:AH23" si="22">ROUND(SUM(I12:AF12),2)</f>
        <v>448400</v>
      </c>
    </row>
    <row r="13" spans="1:34" x14ac:dyDescent="0.25">
      <c r="B13" t="s">
        <v>130</v>
      </c>
      <c r="C13" s="88">
        <f>D13/'Cash Flow'!$C$9</f>
        <v>7.08</v>
      </c>
      <c r="D13" s="4">
        <f>D10*3%</f>
        <v>672600</v>
      </c>
      <c r="F13" s="89">
        <v>2</v>
      </c>
      <c r="G13" s="89">
        <v>6</v>
      </c>
      <c r="I13" s="9">
        <f t="shared" si="20"/>
        <v>0</v>
      </c>
      <c r="J13" s="9">
        <f t="shared" si="20"/>
        <v>112100</v>
      </c>
      <c r="K13" s="9">
        <f t="shared" si="20"/>
        <v>112100</v>
      </c>
      <c r="L13" s="9">
        <f t="shared" si="20"/>
        <v>112100</v>
      </c>
      <c r="M13" s="9">
        <f t="shared" si="20"/>
        <v>112100</v>
      </c>
      <c r="N13" s="9">
        <f t="shared" si="20"/>
        <v>112100</v>
      </c>
      <c r="O13" s="9">
        <f t="shared" si="20"/>
        <v>112100</v>
      </c>
      <c r="P13" s="9">
        <f t="shared" si="20"/>
        <v>0</v>
      </c>
      <c r="Q13" s="9">
        <f t="shared" si="20"/>
        <v>0</v>
      </c>
      <c r="R13" s="9">
        <f t="shared" si="20"/>
        <v>0</v>
      </c>
      <c r="S13" s="9">
        <f t="shared" si="21"/>
        <v>0</v>
      </c>
      <c r="T13" s="9">
        <f t="shared" si="21"/>
        <v>0</v>
      </c>
      <c r="U13" s="9">
        <f t="shared" si="21"/>
        <v>0</v>
      </c>
      <c r="V13" s="9">
        <f t="shared" si="21"/>
        <v>0</v>
      </c>
      <c r="W13" s="9">
        <f t="shared" si="21"/>
        <v>0</v>
      </c>
      <c r="X13" s="9">
        <f t="shared" si="21"/>
        <v>0</v>
      </c>
      <c r="Y13" s="9">
        <f t="shared" si="21"/>
        <v>0</v>
      </c>
      <c r="Z13" s="9">
        <f t="shared" si="21"/>
        <v>0</v>
      </c>
      <c r="AA13" s="9">
        <f t="shared" si="21"/>
        <v>0</v>
      </c>
      <c r="AB13" s="9">
        <f t="shared" si="21"/>
        <v>0</v>
      </c>
      <c r="AC13" s="9">
        <f t="shared" si="21"/>
        <v>0</v>
      </c>
      <c r="AD13" s="9">
        <f t="shared" si="21"/>
        <v>0</v>
      </c>
      <c r="AE13" s="9">
        <f t="shared" si="21"/>
        <v>0</v>
      </c>
      <c r="AF13" s="9">
        <f t="shared" si="21"/>
        <v>0</v>
      </c>
      <c r="AG13" s="9"/>
      <c r="AH13" s="9">
        <f t="shared" si="22"/>
        <v>672600</v>
      </c>
    </row>
    <row r="14" spans="1:34" x14ac:dyDescent="0.25">
      <c r="B14" t="s">
        <v>131</v>
      </c>
      <c r="C14" s="88">
        <f>D14/'Cash Flow'!$C$9</f>
        <v>0.21052631578947367</v>
      </c>
      <c r="D14" s="4">
        <v>20000</v>
      </c>
      <c r="F14" s="89">
        <v>2</v>
      </c>
      <c r="G14" s="89">
        <v>1</v>
      </c>
      <c r="I14" s="9">
        <f t="shared" si="20"/>
        <v>0</v>
      </c>
      <c r="J14" s="9">
        <f t="shared" si="20"/>
        <v>20000</v>
      </c>
      <c r="K14" s="9">
        <f t="shared" si="20"/>
        <v>0</v>
      </c>
      <c r="L14" s="9">
        <f t="shared" si="20"/>
        <v>0</v>
      </c>
      <c r="M14" s="9">
        <f t="shared" si="20"/>
        <v>0</v>
      </c>
      <c r="N14" s="9">
        <f t="shared" si="20"/>
        <v>0</v>
      </c>
      <c r="O14" s="9">
        <f t="shared" si="20"/>
        <v>0</v>
      </c>
      <c r="P14" s="9">
        <f t="shared" si="20"/>
        <v>0</v>
      </c>
      <c r="Q14" s="9">
        <f t="shared" si="20"/>
        <v>0</v>
      </c>
      <c r="R14" s="9">
        <f t="shared" si="20"/>
        <v>0</v>
      </c>
      <c r="S14" s="9">
        <f t="shared" si="21"/>
        <v>0</v>
      </c>
      <c r="T14" s="9">
        <f t="shared" si="21"/>
        <v>0</v>
      </c>
      <c r="U14" s="9">
        <f t="shared" si="21"/>
        <v>0</v>
      </c>
      <c r="V14" s="9">
        <f t="shared" si="21"/>
        <v>0</v>
      </c>
      <c r="W14" s="9">
        <f t="shared" si="21"/>
        <v>0</v>
      </c>
      <c r="X14" s="9">
        <f t="shared" si="21"/>
        <v>0</v>
      </c>
      <c r="Y14" s="9">
        <f t="shared" si="21"/>
        <v>0</v>
      </c>
      <c r="Z14" s="9">
        <f t="shared" si="21"/>
        <v>0</v>
      </c>
      <c r="AA14" s="9">
        <f t="shared" si="21"/>
        <v>0</v>
      </c>
      <c r="AB14" s="9">
        <f t="shared" si="21"/>
        <v>0</v>
      </c>
      <c r="AC14" s="9">
        <f t="shared" si="21"/>
        <v>0</v>
      </c>
      <c r="AD14" s="9">
        <f t="shared" si="21"/>
        <v>0</v>
      </c>
      <c r="AE14" s="9">
        <f t="shared" si="21"/>
        <v>0</v>
      </c>
      <c r="AF14" s="9">
        <f t="shared" si="21"/>
        <v>0</v>
      </c>
      <c r="AG14" s="9"/>
      <c r="AH14" s="9">
        <f t="shared" si="22"/>
        <v>20000</v>
      </c>
    </row>
    <row r="15" spans="1:34" x14ac:dyDescent="0.25">
      <c r="B15" t="s">
        <v>132</v>
      </c>
      <c r="C15" s="88">
        <f>D15/'Cash Flow'!$C$9</f>
        <v>0.10526315789473684</v>
      </c>
      <c r="D15" s="4">
        <v>10000</v>
      </c>
      <c r="F15" s="89">
        <v>2</v>
      </c>
      <c r="G15" s="89">
        <v>1</v>
      </c>
      <c r="I15" s="9">
        <f t="shared" si="20"/>
        <v>0</v>
      </c>
      <c r="J15" s="9">
        <f t="shared" si="20"/>
        <v>10000</v>
      </c>
      <c r="K15" s="9">
        <f t="shared" si="20"/>
        <v>0</v>
      </c>
      <c r="L15" s="9">
        <f t="shared" si="20"/>
        <v>0</v>
      </c>
      <c r="M15" s="9">
        <f t="shared" si="20"/>
        <v>0</v>
      </c>
      <c r="N15" s="9">
        <f t="shared" si="20"/>
        <v>0</v>
      </c>
      <c r="O15" s="9">
        <f t="shared" si="20"/>
        <v>0</v>
      </c>
      <c r="P15" s="9">
        <f t="shared" si="20"/>
        <v>0</v>
      </c>
      <c r="Q15" s="9">
        <f t="shared" si="20"/>
        <v>0</v>
      </c>
      <c r="R15" s="9">
        <f t="shared" si="20"/>
        <v>0</v>
      </c>
      <c r="S15" s="9">
        <f t="shared" si="21"/>
        <v>0</v>
      </c>
      <c r="T15" s="9">
        <f t="shared" si="21"/>
        <v>0</v>
      </c>
      <c r="U15" s="9">
        <f t="shared" si="21"/>
        <v>0</v>
      </c>
      <c r="V15" s="9">
        <f t="shared" si="21"/>
        <v>0</v>
      </c>
      <c r="W15" s="9">
        <f t="shared" si="21"/>
        <v>0</v>
      </c>
      <c r="X15" s="9">
        <f t="shared" si="21"/>
        <v>0</v>
      </c>
      <c r="Y15" s="9">
        <f t="shared" si="21"/>
        <v>0</v>
      </c>
      <c r="Z15" s="9">
        <f t="shared" si="21"/>
        <v>0</v>
      </c>
      <c r="AA15" s="9">
        <f t="shared" si="21"/>
        <v>0</v>
      </c>
      <c r="AB15" s="9">
        <f t="shared" si="21"/>
        <v>0</v>
      </c>
      <c r="AC15" s="9">
        <f t="shared" si="21"/>
        <v>0</v>
      </c>
      <c r="AD15" s="9">
        <f t="shared" si="21"/>
        <v>0</v>
      </c>
      <c r="AE15" s="9">
        <f t="shared" si="21"/>
        <v>0</v>
      </c>
      <c r="AF15" s="9">
        <f t="shared" si="21"/>
        <v>0</v>
      </c>
      <c r="AG15" s="9"/>
      <c r="AH15" s="9">
        <f t="shared" si="22"/>
        <v>10000</v>
      </c>
    </row>
    <row r="16" spans="1:34" x14ac:dyDescent="0.25">
      <c r="B16" t="s">
        <v>133</v>
      </c>
      <c r="C16" s="88">
        <f>D16/'Cash Flow'!$C$9</f>
        <v>1.0526315789473684</v>
      </c>
      <c r="D16" s="4">
        <v>100000</v>
      </c>
      <c r="F16" s="89">
        <v>1</v>
      </c>
      <c r="G16" s="89">
        <v>6</v>
      </c>
      <c r="I16" s="9">
        <f t="shared" si="20"/>
        <v>16666.666666666668</v>
      </c>
      <c r="J16" s="9">
        <f t="shared" si="20"/>
        <v>16666.666666666668</v>
      </c>
      <c r="K16" s="9">
        <f t="shared" si="20"/>
        <v>16666.666666666668</v>
      </c>
      <c r="L16" s="9">
        <f t="shared" si="20"/>
        <v>16666.666666666668</v>
      </c>
      <c r="M16" s="9">
        <f t="shared" si="20"/>
        <v>16666.666666666668</v>
      </c>
      <c r="N16" s="9">
        <f t="shared" si="20"/>
        <v>16666.666666666668</v>
      </c>
      <c r="O16" s="9">
        <f t="shared" si="20"/>
        <v>0</v>
      </c>
      <c r="P16" s="9">
        <f t="shared" si="20"/>
        <v>0</v>
      </c>
      <c r="Q16" s="9">
        <f t="shared" si="20"/>
        <v>0</v>
      </c>
      <c r="R16" s="9">
        <f t="shared" si="20"/>
        <v>0</v>
      </c>
      <c r="S16" s="9">
        <f t="shared" si="21"/>
        <v>0</v>
      </c>
      <c r="T16" s="9">
        <f t="shared" si="21"/>
        <v>0</v>
      </c>
      <c r="U16" s="9">
        <f t="shared" si="21"/>
        <v>0</v>
      </c>
      <c r="V16" s="9">
        <f t="shared" si="21"/>
        <v>0</v>
      </c>
      <c r="W16" s="9">
        <f t="shared" si="21"/>
        <v>0</v>
      </c>
      <c r="X16" s="9">
        <f t="shared" si="21"/>
        <v>0</v>
      </c>
      <c r="Y16" s="9">
        <f t="shared" si="21"/>
        <v>0</v>
      </c>
      <c r="Z16" s="9">
        <f t="shared" si="21"/>
        <v>0</v>
      </c>
      <c r="AA16" s="9">
        <f t="shared" si="21"/>
        <v>0</v>
      </c>
      <c r="AB16" s="9">
        <f t="shared" si="21"/>
        <v>0</v>
      </c>
      <c r="AC16" s="9">
        <f t="shared" si="21"/>
        <v>0</v>
      </c>
      <c r="AD16" s="9">
        <f t="shared" si="21"/>
        <v>0</v>
      </c>
      <c r="AE16" s="9">
        <f t="shared" si="21"/>
        <v>0</v>
      </c>
      <c r="AF16" s="9">
        <f t="shared" si="21"/>
        <v>0</v>
      </c>
      <c r="AG16" s="9"/>
      <c r="AH16" s="9">
        <f t="shared" si="22"/>
        <v>100000</v>
      </c>
    </row>
    <row r="17" spans="1:34" x14ac:dyDescent="0.25">
      <c r="B17" t="s">
        <v>134</v>
      </c>
      <c r="C17" s="88">
        <f>D17/'Cash Flow'!$C$9</f>
        <v>0.52631578947368418</v>
      </c>
      <c r="D17" s="4">
        <f>25000*2</f>
        <v>50000</v>
      </c>
      <c r="F17" s="89">
        <v>1</v>
      </c>
      <c r="G17" s="89">
        <v>24</v>
      </c>
      <c r="I17" s="9">
        <f t="shared" si="20"/>
        <v>2083.3333333333335</v>
      </c>
      <c r="J17" s="9">
        <f t="shared" si="20"/>
        <v>2083.3333333333335</v>
      </c>
      <c r="K17" s="9">
        <f t="shared" si="20"/>
        <v>2083.3333333333335</v>
      </c>
      <c r="L17" s="9">
        <f t="shared" si="20"/>
        <v>2083.3333333333335</v>
      </c>
      <c r="M17" s="9">
        <f t="shared" si="20"/>
        <v>2083.3333333333335</v>
      </c>
      <c r="N17" s="9">
        <f t="shared" si="20"/>
        <v>2083.3333333333335</v>
      </c>
      <c r="O17" s="9">
        <f t="shared" si="20"/>
        <v>2083.3333333333335</v>
      </c>
      <c r="P17" s="9">
        <f t="shared" si="20"/>
        <v>2083.3333333333335</v>
      </c>
      <c r="Q17" s="9">
        <f t="shared" si="20"/>
        <v>2083.3333333333335</v>
      </c>
      <c r="R17" s="9">
        <f t="shared" si="20"/>
        <v>2083.3333333333335</v>
      </c>
      <c r="S17" s="9">
        <f t="shared" si="21"/>
        <v>2083.3333333333335</v>
      </c>
      <c r="T17" s="9">
        <f t="shared" si="21"/>
        <v>2083.3333333333335</v>
      </c>
      <c r="U17" s="9">
        <f t="shared" si="21"/>
        <v>2083.3333333333335</v>
      </c>
      <c r="V17" s="9">
        <f t="shared" si="21"/>
        <v>2083.3333333333335</v>
      </c>
      <c r="W17" s="9">
        <f t="shared" si="21"/>
        <v>2083.3333333333335</v>
      </c>
      <c r="X17" s="9">
        <f t="shared" si="21"/>
        <v>2083.3333333333335</v>
      </c>
      <c r="Y17" s="9">
        <f t="shared" si="21"/>
        <v>2083.3333333333335</v>
      </c>
      <c r="Z17" s="9">
        <f t="shared" si="21"/>
        <v>2083.3333333333335</v>
      </c>
      <c r="AA17" s="9">
        <f t="shared" si="21"/>
        <v>2083.3333333333335</v>
      </c>
      <c r="AB17" s="9">
        <f t="shared" si="21"/>
        <v>2083.3333333333335</v>
      </c>
      <c r="AC17" s="9">
        <f t="shared" si="21"/>
        <v>2083.3333333333335</v>
      </c>
      <c r="AD17" s="9">
        <f t="shared" si="21"/>
        <v>2083.3333333333335</v>
      </c>
      <c r="AE17" s="9">
        <f t="shared" si="21"/>
        <v>2083.3333333333335</v>
      </c>
      <c r="AF17" s="9">
        <f t="shared" si="21"/>
        <v>2083.3333333333335</v>
      </c>
      <c r="AG17" s="9"/>
      <c r="AH17" s="9">
        <f t="shared" si="22"/>
        <v>50000</v>
      </c>
    </row>
    <row r="18" spans="1:34" x14ac:dyDescent="0.25">
      <c r="B18" t="s">
        <v>135</v>
      </c>
      <c r="C18" s="88">
        <f>D18/'Cash Flow'!$C$9</f>
        <v>1.0526315789473684</v>
      </c>
      <c r="D18" s="4">
        <v>100000</v>
      </c>
      <c r="F18" s="89">
        <v>4</v>
      </c>
      <c r="G18" s="89">
        <v>4</v>
      </c>
      <c r="I18" s="9">
        <f t="shared" si="20"/>
        <v>0</v>
      </c>
      <c r="J18" s="9">
        <f t="shared" si="20"/>
        <v>0</v>
      </c>
      <c r="K18" s="9">
        <f t="shared" si="20"/>
        <v>0</v>
      </c>
      <c r="L18" s="9">
        <f t="shared" si="20"/>
        <v>25000</v>
      </c>
      <c r="M18" s="9">
        <f t="shared" si="20"/>
        <v>25000</v>
      </c>
      <c r="N18" s="9">
        <f t="shared" si="20"/>
        <v>25000</v>
      </c>
      <c r="O18" s="9">
        <f t="shared" si="20"/>
        <v>25000</v>
      </c>
      <c r="P18" s="9">
        <f t="shared" si="20"/>
        <v>0</v>
      </c>
      <c r="Q18" s="9">
        <f t="shared" si="20"/>
        <v>0</v>
      </c>
      <c r="R18" s="9">
        <f t="shared" si="20"/>
        <v>0</v>
      </c>
      <c r="S18" s="9">
        <f t="shared" si="21"/>
        <v>0</v>
      </c>
      <c r="T18" s="9">
        <f t="shared" si="21"/>
        <v>0</v>
      </c>
      <c r="U18" s="9">
        <f t="shared" si="21"/>
        <v>0</v>
      </c>
      <c r="V18" s="9">
        <f t="shared" si="21"/>
        <v>0</v>
      </c>
      <c r="W18" s="9">
        <f t="shared" si="21"/>
        <v>0</v>
      </c>
      <c r="X18" s="9">
        <f t="shared" si="21"/>
        <v>0</v>
      </c>
      <c r="Y18" s="9">
        <f t="shared" si="21"/>
        <v>0</v>
      </c>
      <c r="Z18" s="9">
        <f t="shared" si="21"/>
        <v>0</v>
      </c>
      <c r="AA18" s="9">
        <f t="shared" si="21"/>
        <v>0</v>
      </c>
      <c r="AB18" s="9">
        <f t="shared" si="21"/>
        <v>0</v>
      </c>
      <c r="AC18" s="9">
        <f t="shared" si="21"/>
        <v>0</v>
      </c>
      <c r="AD18" s="9">
        <f t="shared" si="21"/>
        <v>0</v>
      </c>
      <c r="AE18" s="9">
        <f t="shared" si="21"/>
        <v>0</v>
      </c>
      <c r="AF18" s="9">
        <f t="shared" si="21"/>
        <v>0</v>
      </c>
      <c r="AG18" s="9"/>
      <c r="AH18" s="9">
        <f t="shared" si="22"/>
        <v>100000</v>
      </c>
    </row>
    <row r="19" spans="1:34" x14ac:dyDescent="0.25">
      <c r="B19" t="s">
        <v>114</v>
      </c>
      <c r="C19" s="88">
        <f>D19/'Cash Flow'!$C$9</f>
        <v>2.1052631578947367</v>
      </c>
      <c r="D19" s="4">
        <v>200000</v>
      </c>
      <c r="F19" s="89">
        <v>7</v>
      </c>
      <c r="G19" s="89">
        <v>1</v>
      </c>
      <c r="I19" s="9">
        <f t="shared" si="20"/>
        <v>0</v>
      </c>
      <c r="J19" s="9">
        <f t="shared" si="20"/>
        <v>0</v>
      </c>
      <c r="K19" s="9">
        <f t="shared" si="20"/>
        <v>0</v>
      </c>
      <c r="L19" s="9">
        <f t="shared" si="20"/>
        <v>0</v>
      </c>
      <c r="M19" s="9">
        <f t="shared" si="20"/>
        <v>0</v>
      </c>
      <c r="N19" s="9">
        <f t="shared" si="20"/>
        <v>0</v>
      </c>
      <c r="O19" s="9">
        <f t="shared" si="20"/>
        <v>200000</v>
      </c>
      <c r="P19" s="9">
        <f t="shared" si="20"/>
        <v>0</v>
      </c>
      <c r="Q19" s="9">
        <f t="shared" si="20"/>
        <v>0</v>
      </c>
      <c r="R19" s="9">
        <f t="shared" si="20"/>
        <v>0</v>
      </c>
      <c r="S19" s="9">
        <f t="shared" si="21"/>
        <v>0</v>
      </c>
      <c r="T19" s="9">
        <f t="shared" si="21"/>
        <v>0</v>
      </c>
      <c r="U19" s="9">
        <f t="shared" si="21"/>
        <v>0</v>
      </c>
      <c r="V19" s="9">
        <f t="shared" si="21"/>
        <v>0</v>
      </c>
      <c r="W19" s="9">
        <f t="shared" si="21"/>
        <v>0</v>
      </c>
      <c r="X19" s="9">
        <f t="shared" si="21"/>
        <v>0</v>
      </c>
      <c r="Y19" s="9">
        <f t="shared" si="21"/>
        <v>0</v>
      </c>
      <c r="Z19" s="9">
        <f t="shared" si="21"/>
        <v>0</v>
      </c>
      <c r="AA19" s="9">
        <f t="shared" si="21"/>
        <v>0</v>
      </c>
      <c r="AB19" s="9">
        <f t="shared" si="21"/>
        <v>0</v>
      </c>
      <c r="AC19" s="9">
        <f t="shared" si="21"/>
        <v>0</v>
      </c>
      <c r="AD19" s="9">
        <f t="shared" si="21"/>
        <v>0</v>
      </c>
      <c r="AE19" s="9">
        <f t="shared" si="21"/>
        <v>0</v>
      </c>
      <c r="AF19" s="9">
        <f t="shared" si="21"/>
        <v>0</v>
      </c>
      <c r="AG19" s="9"/>
      <c r="AH19" s="9">
        <f t="shared" si="22"/>
        <v>200000</v>
      </c>
    </row>
    <row r="20" spans="1:34" x14ac:dyDescent="0.25">
      <c r="B20" t="s">
        <v>141</v>
      </c>
      <c r="C20" s="88">
        <f>D20/'Cash Flow'!$C$9</f>
        <v>2.6315789473684212</v>
      </c>
      <c r="D20" s="4">
        <v>250000</v>
      </c>
      <c r="F20" s="89">
        <v>1</v>
      </c>
      <c r="G20" s="89">
        <v>24</v>
      </c>
      <c r="I20" s="9">
        <f t="shared" si="20"/>
        <v>10416.666666666666</v>
      </c>
      <c r="J20" s="9">
        <f t="shared" si="20"/>
        <v>10416.666666666666</v>
      </c>
      <c r="K20" s="9">
        <f t="shared" si="20"/>
        <v>10416.666666666666</v>
      </c>
      <c r="L20" s="9">
        <f t="shared" si="20"/>
        <v>10416.666666666666</v>
      </c>
      <c r="M20" s="9">
        <f t="shared" si="20"/>
        <v>10416.666666666666</v>
      </c>
      <c r="N20" s="9">
        <f t="shared" si="20"/>
        <v>10416.666666666666</v>
      </c>
      <c r="O20" s="9">
        <f t="shared" si="20"/>
        <v>10416.666666666666</v>
      </c>
      <c r="P20" s="9">
        <f t="shared" si="20"/>
        <v>10416.666666666666</v>
      </c>
      <c r="Q20" s="9">
        <f t="shared" si="20"/>
        <v>10416.666666666666</v>
      </c>
      <c r="R20" s="9">
        <f t="shared" si="20"/>
        <v>10416.666666666666</v>
      </c>
      <c r="S20" s="9">
        <f t="shared" si="21"/>
        <v>10416.666666666666</v>
      </c>
      <c r="T20" s="9">
        <f t="shared" si="21"/>
        <v>10416.666666666666</v>
      </c>
      <c r="U20" s="9">
        <f t="shared" si="21"/>
        <v>10416.666666666666</v>
      </c>
      <c r="V20" s="9">
        <f t="shared" si="21"/>
        <v>10416.666666666666</v>
      </c>
      <c r="W20" s="9">
        <f t="shared" si="21"/>
        <v>10416.666666666666</v>
      </c>
      <c r="X20" s="9">
        <f t="shared" si="21"/>
        <v>10416.666666666666</v>
      </c>
      <c r="Y20" s="9">
        <f t="shared" si="21"/>
        <v>10416.666666666666</v>
      </c>
      <c r="Z20" s="9">
        <f t="shared" si="21"/>
        <v>10416.666666666666</v>
      </c>
      <c r="AA20" s="9">
        <f t="shared" si="21"/>
        <v>10416.666666666666</v>
      </c>
      <c r="AB20" s="9">
        <f t="shared" si="21"/>
        <v>10416.666666666666</v>
      </c>
      <c r="AC20" s="9">
        <f t="shared" si="21"/>
        <v>10416.666666666666</v>
      </c>
      <c r="AD20" s="9">
        <f t="shared" si="21"/>
        <v>10416.666666666666</v>
      </c>
      <c r="AE20" s="9">
        <f t="shared" si="21"/>
        <v>10416.666666666666</v>
      </c>
      <c r="AF20" s="9">
        <f t="shared" si="21"/>
        <v>10416.666666666666</v>
      </c>
      <c r="AG20" s="9"/>
      <c r="AH20" s="9">
        <f t="shared" si="22"/>
        <v>250000</v>
      </c>
    </row>
    <row r="21" spans="1:34" x14ac:dyDescent="0.25">
      <c r="B21" t="s">
        <v>182</v>
      </c>
      <c r="C21" s="88">
        <f>D21/'Cash Flow'!$C$9</f>
        <v>5.2631578947368425</v>
      </c>
      <c r="D21" s="4">
        <v>500000</v>
      </c>
      <c r="F21" s="89">
        <v>7</v>
      </c>
      <c r="G21" s="89">
        <v>12</v>
      </c>
      <c r="I21" s="9">
        <f t="shared" si="20"/>
        <v>0</v>
      </c>
      <c r="J21" s="9">
        <f t="shared" si="20"/>
        <v>0</v>
      </c>
      <c r="K21" s="9">
        <f t="shared" si="20"/>
        <v>0</v>
      </c>
      <c r="L21" s="9">
        <f t="shared" si="20"/>
        <v>0</v>
      </c>
      <c r="M21" s="9">
        <f t="shared" si="20"/>
        <v>0</v>
      </c>
      <c r="N21" s="9">
        <f t="shared" si="20"/>
        <v>0</v>
      </c>
      <c r="O21" s="9">
        <f t="shared" si="20"/>
        <v>41666.666666666664</v>
      </c>
      <c r="P21" s="9">
        <f t="shared" si="20"/>
        <v>41666.666666666664</v>
      </c>
      <c r="Q21" s="9">
        <f t="shared" si="20"/>
        <v>41666.666666666664</v>
      </c>
      <c r="R21" s="9">
        <f t="shared" si="20"/>
        <v>41666.666666666664</v>
      </c>
      <c r="S21" s="9">
        <f t="shared" si="21"/>
        <v>41666.666666666664</v>
      </c>
      <c r="T21" s="9">
        <f t="shared" si="21"/>
        <v>41666.666666666664</v>
      </c>
      <c r="U21" s="9">
        <f t="shared" si="21"/>
        <v>41666.666666666664</v>
      </c>
      <c r="V21" s="9">
        <f t="shared" si="21"/>
        <v>41666.666666666664</v>
      </c>
      <c r="W21" s="9">
        <f t="shared" si="21"/>
        <v>41666.666666666664</v>
      </c>
      <c r="X21" s="9">
        <f t="shared" si="21"/>
        <v>41666.666666666664</v>
      </c>
      <c r="Y21" s="9">
        <f t="shared" si="21"/>
        <v>41666.666666666664</v>
      </c>
      <c r="Z21" s="9">
        <f t="shared" si="21"/>
        <v>41666.666666666664</v>
      </c>
      <c r="AA21" s="9">
        <f t="shared" si="21"/>
        <v>0</v>
      </c>
      <c r="AB21" s="9">
        <f t="shared" si="21"/>
        <v>0</v>
      </c>
      <c r="AC21" s="9">
        <f t="shared" si="21"/>
        <v>0</v>
      </c>
      <c r="AD21" s="9">
        <f t="shared" si="21"/>
        <v>0</v>
      </c>
      <c r="AE21" s="9">
        <f t="shared" si="21"/>
        <v>0</v>
      </c>
      <c r="AF21" s="9">
        <f t="shared" si="21"/>
        <v>0</v>
      </c>
      <c r="AG21" s="9"/>
      <c r="AH21" s="9">
        <f t="shared" si="22"/>
        <v>500000</v>
      </c>
    </row>
    <row r="22" spans="1:34" x14ac:dyDescent="0.25">
      <c r="B22" t="s">
        <v>136</v>
      </c>
      <c r="C22" s="88">
        <f>D22/'Cash Flow'!$C$9</f>
        <v>0</v>
      </c>
      <c r="D22" s="4">
        <v>0</v>
      </c>
      <c r="F22" s="89">
        <v>1</v>
      </c>
      <c r="G22" s="89">
        <v>1</v>
      </c>
      <c r="I22" s="9">
        <f t="shared" si="20"/>
        <v>0</v>
      </c>
      <c r="J22" s="9">
        <f t="shared" si="20"/>
        <v>0</v>
      </c>
      <c r="K22" s="9">
        <f t="shared" si="20"/>
        <v>0</v>
      </c>
      <c r="L22" s="9">
        <f t="shared" si="20"/>
        <v>0</v>
      </c>
      <c r="M22" s="9">
        <f t="shared" si="20"/>
        <v>0</v>
      </c>
      <c r="N22" s="9">
        <f t="shared" si="20"/>
        <v>0</v>
      </c>
      <c r="O22" s="9">
        <f t="shared" si="20"/>
        <v>0</v>
      </c>
      <c r="P22" s="9">
        <f t="shared" si="20"/>
        <v>0</v>
      </c>
      <c r="Q22" s="9">
        <f t="shared" si="20"/>
        <v>0</v>
      </c>
      <c r="R22" s="9">
        <f t="shared" si="20"/>
        <v>0</v>
      </c>
      <c r="S22" s="9">
        <f t="shared" si="21"/>
        <v>0</v>
      </c>
      <c r="T22" s="9">
        <f t="shared" si="21"/>
        <v>0</v>
      </c>
      <c r="U22" s="9">
        <f t="shared" si="21"/>
        <v>0</v>
      </c>
      <c r="V22" s="9">
        <f t="shared" si="21"/>
        <v>0</v>
      </c>
      <c r="W22" s="9">
        <f t="shared" si="21"/>
        <v>0</v>
      </c>
      <c r="X22" s="9">
        <f t="shared" si="21"/>
        <v>0</v>
      </c>
      <c r="Y22" s="9">
        <f t="shared" si="21"/>
        <v>0</v>
      </c>
      <c r="Z22" s="9">
        <f t="shared" si="21"/>
        <v>0</v>
      </c>
      <c r="AA22" s="9">
        <f t="shared" si="21"/>
        <v>0</v>
      </c>
      <c r="AB22" s="9">
        <f t="shared" si="21"/>
        <v>0</v>
      </c>
      <c r="AC22" s="9">
        <f t="shared" si="21"/>
        <v>0</v>
      </c>
      <c r="AD22" s="9">
        <f t="shared" si="21"/>
        <v>0</v>
      </c>
      <c r="AE22" s="9">
        <f t="shared" si="21"/>
        <v>0</v>
      </c>
      <c r="AF22" s="9">
        <f t="shared" si="21"/>
        <v>0</v>
      </c>
      <c r="AG22" s="9"/>
      <c r="AH22" s="9">
        <f t="shared" si="22"/>
        <v>0</v>
      </c>
    </row>
    <row r="23" spans="1:34" x14ac:dyDescent="0.25">
      <c r="B23" s="19" t="s">
        <v>136</v>
      </c>
      <c r="C23" s="91">
        <f>D23/'Cash Flow'!$C$9</f>
        <v>0</v>
      </c>
      <c r="D23" s="90">
        <v>0</v>
      </c>
      <c r="E23" s="19"/>
      <c r="F23" s="92">
        <v>1</v>
      </c>
      <c r="G23" s="92">
        <v>1</v>
      </c>
      <c r="H23" s="19"/>
      <c r="I23" s="20">
        <f t="shared" si="20"/>
        <v>0</v>
      </c>
      <c r="J23" s="20">
        <f t="shared" si="20"/>
        <v>0</v>
      </c>
      <c r="K23" s="20">
        <f t="shared" si="20"/>
        <v>0</v>
      </c>
      <c r="L23" s="20">
        <f t="shared" si="20"/>
        <v>0</v>
      </c>
      <c r="M23" s="20">
        <f t="shared" si="20"/>
        <v>0</v>
      </c>
      <c r="N23" s="20">
        <f t="shared" si="20"/>
        <v>0</v>
      </c>
      <c r="O23" s="20">
        <f t="shared" si="20"/>
        <v>0</v>
      </c>
      <c r="P23" s="20">
        <f t="shared" si="20"/>
        <v>0</v>
      </c>
      <c r="Q23" s="20">
        <f t="shared" si="20"/>
        <v>0</v>
      </c>
      <c r="R23" s="20">
        <f t="shared" si="20"/>
        <v>0</v>
      </c>
      <c r="S23" s="20">
        <f t="shared" si="21"/>
        <v>0</v>
      </c>
      <c r="T23" s="20">
        <f t="shared" si="21"/>
        <v>0</v>
      </c>
      <c r="U23" s="20">
        <f t="shared" si="21"/>
        <v>0</v>
      </c>
      <c r="V23" s="20">
        <f t="shared" si="21"/>
        <v>0</v>
      </c>
      <c r="W23" s="20">
        <f t="shared" si="21"/>
        <v>0</v>
      </c>
      <c r="X23" s="20">
        <f t="shared" si="21"/>
        <v>0</v>
      </c>
      <c r="Y23" s="20">
        <f t="shared" si="21"/>
        <v>0</v>
      </c>
      <c r="Z23" s="20">
        <f t="shared" si="21"/>
        <v>0</v>
      </c>
      <c r="AA23" s="20">
        <f t="shared" si="21"/>
        <v>0</v>
      </c>
      <c r="AB23" s="20">
        <f t="shared" si="21"/>
        <v>0</v>
      </c>
      <c r="AC23" s="20">
        <f t="shared" si="21"/>
        <v>0</v>
      </c>
      <c r="AD23" s="20">
        <f t="shared" si="21"/>
        <v>0</v>
      </c>
      <c r="AE23" s="20">
        <f t="shared" si="21"/>
        <v>0</v>
      </c>
      <c r="AF23" s="20">
        <f t="shared" si="21"/>
        <v>0</v>
      </c>
      <c r="AG23" s="20"/>
      <c r="AH23" s="20">
        <f t="shared" si="22"/>
        <v>0</v>
      </c>
    </row>
    <row r="24" spans="1:34" x14ac:dyDescent="0.25">
      <c r="B24" s="23" t="s">
        <v>22</v>
      </c>
      <c r="C24" s="93">
        <f>SUM(C12:C23)</f>
        <v>24.747368421052634</v>
      </c>
      <c r="D24" s="93">
        <f>SUM(D12:D23)</f>
        <v>2351000</v>
      </c>
      <c r="E24" s="23"/>
      <c r="F24" s="23"/>
      <c r="G24" s="23"/>
      <c r="H24" s="23"/>
      <c r="I24" s="39">
        <f>SUM(I12:I23)</f>
        <v>29166.666666666664</v>
      </c>
      <c r="J24" s="39">
        <f t="shared" ref="J24:AH24" si="23">SUM(J12:J23)</f>
        <v>245999.99999999997</v>
      </c>
      <c r="K24" s="39">
        <f t="shared" si="23"/>
        <v>215999.99999999997</v>
      </c>
      <c r="L24" s="39">
        <f t="shared" si="23"/>
        <v>240999.99999999997</v>
      </c>
      <c r="M24" s="39">
        <f t="shared" si="23"/>
        <v>240999.99999999997</v>
      </c>
      <c r="N24" s="39">
        <f t="shared" si="23"/>
        <v>240999.99999999997</v>
      </c>
      <c r="O24" s="39">
        <f t="shared" si="23"/>
        <v>466000</v>
      </c>
      <c r="P24" s="39">
        <f t="shared" si="23"/>
        <v>54166.666666666664</v>
      </c>
      <c r="Q24" s="39">
        <f t="shared" si="23"/>
        <v>54166.666666666664</v>
      </c>
      <c r="R24" s="39">
        <f t="shared" si="23"/>
        <v>54166.666666666664</v>
      </c>
      <c r="S24" s="39">
        <f t="shared" si="23"/>
        <v>54166.666666666664</v>
      </c>
      <c r="T24" s="39">
        <f t="shared" si="23"/>
        <v>54166.666666666664</v>
      </c>
      <c r="U24" s="39">
        <f t="shared" si="23"/>
        <v>54166.666666666664</v>
      </c>
      <c r="V24" s="39">
        <f t="shared" si="23"/>
        <v>54166.666666666664</v>
      </c>
      <c r="W24" s="39">
        <f t="shared" si="23"/>
        <v>54166.666666666664</v>
      </c>
      <c r="X24" s="39">
        <f t="shared" si="23"/>
        <v>54166.666666666664</v>
      </c>
      <c r="Y24" s="39">
        <f t="shared" si="23"/>
        <v>54166.666666666664</v>
      </c>
      <c r="Z24" s="39">
        <f t="shared" si="23"/>
        <v>54166.666666666664</v>
      </c>
      <c r="AA24" s="39">
        <f t="shared" si="23"/>
        <v>12500</v>
      </c>
      <c r="AB24" s="39">
        <f t="shared" si="23"/>
        <v>12500</v>
      </c>
      <c r="AC24" s="39">
        <f t="shared" si="23"/>
        <v>12500</v>
      </c>
      <c r="AD24" s="39">
        <f t="shared" si="23"/>
        <v>12500</v>
      </c>
      <c r="AE24" s="39">
        <f t="shared" si="23"/>
        <v>12500</v>
      </c>
      <c r="AF24" s="39">
        <f t="shared" si="23"/>
        <v>12500</v>
      </c>
      <c r="AG24" s="23"/>
      <c r="AH24" s="39">
        <f t="shared" si="23"/>
        <v>2351000</v>
      </c>
    </row>
    <row r="25" spans="1:34" x14ac:dyDescent="0.25">
      <c r="C25" s="16"/>
      <c r="AH25" s="18"/>
    </row>
    <row r="26" spans="1:34" x14ac:dyDescent="0.25">
      <c r="B26" t="s">
        <v>137</v>
      </c>
      <c r="C26" s="88">
        <f>D26/'Cash Flow'!$C$9</f>
        <v>0.10526315789473684</v>
      </c>
      <c r="D26" s="4">
        <v>10000</v>
      </c>
      <c r="F26" s="89">
        <v>4</v>
      </c>
      <c r="G26" s="89">
        <v>1</v>
      </c>
      <c r="I26" s="9">
        <f t="shared" ref="I26:X29" si="24">IF(AND(I$5&gt;=$F26,I$5&lt;$F26+$G26),$D26/$G26,0)</f>
        <v>0</v>
      </c>
      <c r="J26" s="9">
        <f t="shared" si="24"/>
        <v>0</v>
      </c>
      <c r="K26" s="9">
        <f t="shared" si="24"/>
        <v>0</v>
      </c>
      <c r="L26" s="9">
        <f t="shared" si="24"/>
        <v>10000</v>
      </c>
      <c r="M26" s="9">
        <f t="shared" si="24"/>
        <v>0</v>
      </c>
      <c r="N26" s="9">
        <f t="shared" si="24"/>
        <v>0</v>
      </c>
      <c r="O26" s="9">
        <f t="shared" si="24"/>
        <v>0</v>
      </c>
      <c r="P26" s="9">
        <f t="shared" si="24"/>
        <v>0</v>
      </c>
      <c r="Q26" s="9">
        <f t="shared" si="24"/>
        <v>0</v>
      </c>
      <c r="R26" s="9">
        <f t="shared" si="24"/>
        <v>0</v>
      </c>
      <c r="S26" s="9">
        <f t="shared" si="24"/>
        <v>0</v>
      </c>
      <c r="T26" s="9">
        <f t="shared" si="24"/>
        <v>0</v>
      </c>
      <c r="U26" s="9">
        <f t="shared" si="24"/>
        <v>0</v>
      </c>
      <c r="V26" s="9">
        <f t="shared" si="24"/>
        <v>0</v>
      </c>
      <c r="W26" s="9">
        <f t="shared" si="24"/>
        <v>0</v>
      </c>
      <c r="X26" s="9">
        <f t="shared" si="24"/>
        <v>0</v>
      </c>
      <c r="Y26" s="9">
        <f t="shared" ref="Y26:AF29" si="25">IF(AND(Y$5&gt;=$F26,Y$5&lt;$F26+$G26),$D26/$G26,0)</f>
        <v>0</v>
      </c>
      <c r="Z26" s="9">
        <f t="shared" si="25"/>
        <v>0</v>
      </c>
      <c r="AA26" s="9">
        <f t="shared" si="25"/>
        <v>0</v>
      </c>
      <c r="AB26" s="9">
        <f t="shared" si="25"/>
        <v>0</v>
      </c>
      <c r="AC26" s="9">
        <f t="shared" si="25"/>
        <v>0</v>
      </c>
      <c r="AD26" s="9">
        <f t="shared" si="25"/>
        <v>0</v>
      </c>
      <c r="AE26" s="9">
        <f t="shared" si="25"/>
        <v>0</v>
      </c>
      <c r="AF26" s="9">
        <f t="shared" si="25"/>
        <v>0</v>
      </c>
      <c r="AG26" s="9"/>
      <c r="AH26" s="9">
        <f>ROUND(SUM(I26:AF26),2)</f>
        <v>10000</v>
      </c>
    </row>
    <row r="27" spans="1:34" x14ac:dyDescent="0.25">
      <c r="B27" t="s">
        <v>138</v>
      </c>
      <c r="C27" s="88">
        <f>D27/'Cash Flow'!$C$9</f>
        <v>0.10526315789473684</v>
      </c>
      <c r="D27" s="4">
        <v>10000</v>
      </c>
      <c r="F27" s="89">
        <v>4</v>
      </c>
      <c r="G27" s="89">
        <v>1</v>
      </c>
      <c r="I27" s="9">
        <f t="shared" si="24"/>
        <v>0</v>
      </c>
      <c r="J27" s="9">
        <f t="shared" si="24"/>
        <v>0</v>
      </c>
      <c r="K27" s="9">
        <f t="shared" si="24"/>
        <v>0</v>
      </c>
      <c r="L27" s="9">
        <f t="shared" si="24"/>
        <v>10000</v>
      </c>
      <c r="M27" s="9">
        <f t="shared" si="24"/>
        <v>0</v>
      </c>
      <c r="N27" s="9">
        <f t="shared" si="24"/>
        <v>0</v>
      </c>
      <c r="O27" s="9">
        <f t="shared" si="24"/>
        <v>0</v>
      </c>
      <c r="P27" s="9">
        <f t="shared" si="24"/>
        <v>0</v>
      </c>
      <c r="Q27" s="9">
        <f t="shared" si="24"/>
        <v>0</v>
      </c>
      <c r="R27" s="9">
        <f t="shared" si="24"/>
        <v>0</v>
      </c>
      <c r="S27" s="9">
        <f t="shared" si="24"/>
        <v>0</v>
      </c>
      <c r="T27" s="9">
        <f t="shared" si="24"/>
        <v>0</v>
      </c>
      <c r="U27" s="9">
        <f t="shared" si="24"/>
        <v>0</v>
      </c>
      <c r="V27" s="9">
        <f t="shared" si="24"/>
        <v>0</v>
      </c>
      <c r="W27" s="9">
        <f t="shared" si="24"/>
        <v>0</v>
      </c>
      <c r="X27" s="9">
        <f t="shared" si="24"/>
        <v>0</v>
      </c>
      <c r="Y27" s="9">
        <f t="shared" si="25"/>
        <v>0</v>
      </c>
      <c r="Z27" s="9">
        <f t="shared" si="25"/>
        <v>0</v>
      </c>
      <c r="AA27" s="9">
        <f t="shared" si="25"/>
        <v>0</v>
      </c>
      <c r="AB27" s="9">
        <f t="shared" si="25"/>
        <v>0</v>
      </c>
      <c r="AC27" s="9">
        <f t="shared" si="25"/>
        <v>0</v>
      </c>
      <c r="AD27" s="9">
        <f t="shared" si="25"/>
        <v>0</v>
      </c>
      <c r="AE27" s="9">
        <f t="shared" si="25"/>
        <v>0</v>
      </c>
      <c r="AF27" s="9">
        <f t="shared" si="25"/>
        <v>0</v>
      </c>
      <c r="AG27" s="9"/>
      <c r="AH27" s="9">
        <f>ROUND(SUM(I27:AF27),2)</f>
        <v>10000</v>
      </c>
    </row>
    <row r="28" spans="1:34" x14ac:dyDescent="0.25">
      <c r="A28" s="96">
        <v>0.01</v>
      </c>
      <c r="B28" t="s">
        <v>139</v>
      </c>
      <c r="C28" s="88">
        <f>D28/'Cash Flow'!$C$9</f>
        <v>2.1817422789473686</v>
      </c>
      <c r="D28" s="97">
        <f>((D8+D10+D24)*(1+$A$32)*(1+$A$34))*Debt!$C$15*$A$28</f>
        <v>207265.51650000003</v>
      </c>
      <c r="F28" s="89">
        <v>7</v>
      </c>
      <c r="G28" s="89">
        <v>1</v>
      </c>
      <c r="I28" s="9">
        <f t="shared" si="24"/>
        <v>0</v>
      </c>
      <c r="J28" s="9">
        <f t="shared" si="24"/>
        <v>0</v>
      </c>
      <c r="K28" s="9">
        <f t="shared" si="24"/>
        <v>0</v>
      </c>
      <c r="L28" s="9">
        <f t="shared" si="24"/>
        <v>0</v>
      </c>
      <c r="M28" s="9">
        <f t="shared" si="24"/>
        <v>0</v>
      </c>
      <c r="N28" s="9">
        <f t="shared" si="24"/>
        <v>0</v>
      </c>
      <c r="O28" s="9">
        <f t="shared" si="24"/>
        <v>207265.51650000003</v>
      </c>
      <c r="P28" s="9">
        <f t="shared" si="24"/>
        <v>0</v>
      </c>
      <c r="Q28" s="9">
        <f t="shared" si="24"/>
        <v>0</v>
      </c>
      <c r="R28" s="9">
        <f t="shared" si="24"/>
        <v>0</v>
      </c>
      <c r="S28" s="9">
        <f t="shared" si="24"/>
        <v>0</v>
      </c>
      <c r="T28" s="9">
        <f t="shared" si="24"/>
        <v>0</v>
      </c>
      <c r="U28" s="9">
        <f t="shared" si="24"/>
        <v>0</v>
      </c>
      <c r="V28" s="9">
        <f t="shared" si="24"/>
        <v>0</v>
      </c>
      <c r="W28" s="9">
        <f t="shared" si="24"/>
        <v>0</v>
      </c>
      <c r="X28" s="9">
        <f t="shared" si="24"/>
        <v>0</v>
      </c>
      <c r="Y28" s="9">
        <f t="shared" si="25"/>
        <v>0</v>
      </c>
      <c r="Z28" s="9">
        <f t="shared" si="25"/>
        <v>0</v>
      </c>
      <c r="AA28" s="9">
        <f t="shared" si="25"/>
        <v>0</v>
      </c>
      <c r="AB28" s="9">
        <f t="shared" si="25"/>
        <v>0</v>
      </c>
      <c r="AC28" s="9">
        <f t="shared" si="25"/>
        <v>0</v>
      </c>
      <c r="AD28" s="9">
        <f t="shared" si="25"/>
        <v>0</v>
      </c>
      <c r="AE28" s="9">
        <f t="shared" si="25"/>
        <v>0</v>
      </c>
      <c r="AF28" s="9">
        <f t="shared" si="25"/>
        <v>0</v>
      </c>
      <c r="AG28" s="9"/>
      <c r="AH28" s="9">
        <f>ROUND(SUM(I28:AF28),2)</f>
        <v>207265.52</v>
      </c>
    </row>
    <row r="29" spans="1:34" x14ac:dyDescent="0.25">
      <c r="B29" s="19" t="s">
        <v>140</v>
      </c>
      <c r="C29" s="91">
        <f>D29/'Cash Flow'!$C$9</f>
        <v>0.31578947368421051</v>
      </c>
      <c r="D29" s="90">
        <v>30000</v>
      </c>
      <c r="E29" s="19"/>
      <c r="F29" s="92">
        <v>7</v>
      </c>
      <c r="G29" s="92">
        <v>1</v>
      </c>
      <c r="H29" s="19"/>
      <c r="I29" s="20">
        <f t="shared" si="24"/>
        <v>0</v>
      </c>
      <c r="J29" s="20">
        <f t="shared" si="24"/>
        <v>0</v>
      </c>
      <c r="K29" s="20">
        <f t="shared" si="24"/>
        <v>0</v>
      </c>
      <c r="L29" s="20">
        <f t="shared" si="24"/>
        <v>0</v>
      </c>
      <c r="M29" s="20">
        <f t="shared" si="24"/>
        <v>0</v>
      </c>
      <c r="N29" s="20">
        <f t="shared" si="24"/>
        <v>0</v>
      </c>
      <c r="O29" s="20">
        <f t="shared" si="24"/>
        <v>30000</v>
      </c>
      <c r="P29" s="20">
        <f t="shared" si="24"/>
        <v>0</v>
      </c>
      <c r="Q29" s="20">
        <f t="shared" si="24"/>
        <v>0</v>
      </c>
      <c r="R29" s="20">
        <f t="shared" si="24"/>
        <v>0</v>
      </c>
      <c r="S29" s="20">
        <f t="shared" si="24"/>
        <v>0</v>
      </c>
      <c r="T29" s="20">
        <f t="shared" si="24"/>
        <v>0</v>
      </c>
      <c r="U29" s="20">
        <f t="shared" si="24"/>
        <v>0</v>
      </c>
      <c r="V29" s="20">
        <f t="shared" si="24"/>
        <v>0</v>
      </c>
      <c r="W29" s="20">
        <f t="shared" si="24"/>
        <v>0</v>
      </c>
      <c r="X29" s="20">
        <f t="shared" si="24"/>
        <v>0</v>
      </c>
      <c r="Y29" s="20">
        <f t="shared" si="25"/>
        <v>0</v>
      </c>
      <c r="Z29" s="20">
        <f t="shared" si="25"/>
        <v>0</v>
      </c>
      <c r="AA29" s="20">
        <f t="shared" si="25"/>
        <v>0</v>
      </c>
      <c r="AB29" s="20">
        <f t="shared" si="25"/>
        <v>0</v>
      </c>
      <c r="AC29" s="20">
        <f t="shared" si="25"/>
        <v>0</v>
      </c>
      <c r="AD29" s="20">
        <f t="shared" si="25"/>
        <v>0</v>
      </c>
      <c r="AE29" s="20">
        <f t="shared" si="25"/>
        <v>0</v>
      </c>
      <c r="AF29" s="20">
        <f t="shared" si="25"/>
        <v>0</v>
      </c>
      <c r="AG29" s="20"/>
      <c r="AH29" s="20">
        <f>ROUND(SUM(I29:AF29),2)</f>
        <v>30000</v>
      </c>
    </row>
    <row r="30" spans="1:34" x14ac:dyDescent="0.25">
      <c r="B30" s="23" t="s">
        <v>23</v>
      </c>
      <c r="C30" s="93">
        <f>SUM(C26:C29)</f>
        <v>2.7080580684210531</v>
      </c>
      <c r="D30" s="93">
        <f>SUM(D26:D29)</f>
        <v>257265.51650000003</v>
      </c>
      <c r="E30" s="23"/>
      <c r="F30" s="23"/>
      <c r="G30" s="23"/>
      <c r="H30" s="23"/>
      <c r="I30" s="93">
        <f t="shared" ref="I30:AH30" si="26">SUM(I26:I29)</f>
        <v>0</v>
      </c>
      <c r="J30" s="93">
        <f t="shared" si="26"/>
        <v>0</v>
      </c>
      <c r="K30" s="93">
        <f t="shared" si="26"/>
        <v>0</v>
      </c>
      <c r="L30" s="93">
        <f t="shared" si="26"/>
        <v>20000</v>
      </c>
      <c r="M30" s="93">
        <f>SUM(M26:M29)</f>
        <v>0</v>
      </c>
      <c r="N30" s="93">
        <f t="shared" si="26"/>
        <v>0</v>
      </c>
      <c r="O30" s="93">
        <f t="shared" si="26"/>
        <v>237265.51650000003</v>
      </c>
      <c r="P30" s="93">
        <f t="shared" si="26"/>
        <v>0</v>
      </c>
      <c r="Q30" s="93">
        <f t="shared" si="26"/>
        <v>0</v>
      </c>
      <c r="R30" s="93">
        <f t="shared" si="26"/>
        <v>0</v>
      </c>
      <c r="S30" s="93">
        <f t="shared" si="26"/>
        <v>0</v>
      </c>
      <c r="T30" s="93">
        <f t="shared" si="26"/>
        <v>0</v>
      </c>
      <c r="U30" s="93">
        <f t="shared" si="26"/>
        <v>0</v>
      </c>
      <c r="V30" s="93">
        <f t="shared" si="26"/>
        <v>0</v>
      </c>
      <c r="W30" s="93">
        <f t="shared" si="26"/>
        <v>0</v>
      </c>
      <c r="X30" s="93">
        <f t="shared" si="26"/>
        <v>0</v>
      </c>
      <c r="Y30" s="93">
        <f t="shared" si="26"/>
        <v>0</v>
      </c>
      <c r="Z30" s="93">
        <f t="shared" si="26"/>
        <v>0</v>
      </c>
      <c r="AA30" s="93">
        <f t="shared" si="26"/>
        <v>0</v>
      </c>
      <c r="AB30" s="93">
        <f t="shared" si="26"/>
        <v>0</v>
      </c>
      <c r="AC30" s="93">
        <f t="shared" si="26"/>
        <v>0</v>
      </c>
      <c r="AD30" s="93">
        <f t="shared" si="26"/>
        <v>0</v>
      </c>
      <c r="AE30" s="93">
        <f t="shared" si="26"/>
        <v>0</v>
      </c>
      <c r="AF30" s="93">
        <f t="shared" si="26"/>
        <v>0</v>
      </c>
      <c r="AG30" s="23"/>
      <c r="AH30" s="93">
        <f t="shared" si="26"/>
        <v>257265.52</v>
      </c>
    </row>
    <row r="31" spans="1:34" x14ac:dyDescent="0.25">
      <c r="C31" s="4"/>
      <c r="AH31" s="18"/>
    </row>
    <row r="32" spans="1:34" x14ac:dyDescent="0.25">
      <c r="A32" s="16">
        <v>0.05</v>
      </c>
      <c r="B32" s="23" t="s">
        <v>24</v>
      </c>
      <c r="C32" s="93">
        <f>D32/'Cash Flow'!$C$9</f>
        <v>13.751718692894737</v>
      </c>
      <c r="D32" s="39">
        <f>(D$8+D$10+D$24+D$30)*$A32</f>
        <v>1306413.2758250001</v>
      </c>
      <c r="E32" s="23"/>
      <c r="F32" s="23"/>
      <c r="G32" s="23"/>
      <c r="H32" s="23"/>
      <c r="I32" s="39">
        <f>(I$8+I$10+I$24+I$30)*$A32</f>
        <v>56458.333333333343</v>
      </c>
      <c r="J32" s="39">
        <f t="shared" ref="J32:AF32" si="27">(J$8+J$10+J$24+J$30)*$A32</f>
        <v>12300</v>
      </c>
      <c r="K32" s="39">
        <f t="shared" si="27"/>
        <v>10800</v>
      </c>
      <c r="L32" s="39">
        <f t="shared" si="27"/>
        <v>13050</v>
      </c>
      <c r="M32" s="39">
        <f t="shared" si="27"/>
        <v>12050</v>
      </c>
      <c r="N32" s="39">
        <f t="shared" si="27"/>
        <v>12050</v>
      </c>
      <c r="O32" s="39">
        <f t="shared" si="27"/>
        <v>97441.053602777771</v>
      </c>
      <c r="P32" s="39">
        <f t="shared" si="27"/>
        <v>64986.111111111117</v>
      </c>
      <c r="Q32" s="39">
        <f t="shared" si="27"/>
        <v>64986.111111111117</v>
      </c>
      <c r="R32" s="39">
        <f t="shared" si="27"/>
        <v>64986.111111111117</v>
      </c>
      <c r="S32" s="39">
        <f t="shared" si="27"/>
        <v>64986.111111111117</v>
      </c>
      <c r="T32" s="39">
        <f t="shared" si="27"/>
        <v>64986.111111111117</v>
      </c>
      <c r="U32" s="39">
        <f t="shared" si="27"/>
        <v>64986.111111111117</v>
      </c>
      <c r="V32" s="39">
        <f t="shared" si="27"/>
        <v>64986.111111111117</v>
      </c>
      <c r="W32" s="39">
        <f t="shared" si="27"/>
        <v>64986.111111111117</v>
      </c>
      <c r="X32" s="39">
        <f t="shared" si="27"/>
        <v>64986.111111111117</v>
      </c>
      <c r="Y32" s="39">
        <f t="shared" si="27"/>
        <v>64986.111111111117</v>
      </c>
      <c r="Z32" s="39">
        <f t="shared" si="27"/>
        <v>64986.111111111117</v>
      </c>
      <c r="AA32" s="39">
        <f t="shared" si="27"/>
        <v>62902.777777777781</v>
      </c>
      <c r="AB32" s="39">
        <f t="shared" si="27"/>
        <v>62902.777777777781</v>
      </c>
      <c r="AC32" s="39">
        <f t="shared" si="27"/>
        <v>62902.777777777781</v>
      </c>
      <c r="AD32" s="39">
        <f t="shared" si="27"/>
        <v>62902.777777777781</v>
      </c>
      <c r="AE32" s="39">
        <f t="shared" si="27"/>
        <v>62902.777777777781</v>
      </c>
      <c r="AF32" s="39">
        <f t="shared" si="27"/>
        <v>62902.777777777781</v>
      </c>
      <c r="AG32" s="23"/>
      <c r="AH32" s="24">
        <f>ROUND(SUM(I32:AF32),2)</f>
        <v>1306413.28</v>
      </c>
    </row>
    <row r="33" spans="1:34" x14ac:dyDescent="0.25">
      <c r="A33" s="16"/>
      <c r="AH33" s="18"/>
    </row>
    <row r="34" spans="1:34" x14ac:dyDescent="0.25">
      <c r="A34" s="16">
        <v>0.09</v>
      </c>
      <c r="B34" s="23" t="s">
        <v>25</v>
      </c>
      <c r="C34" s="93">
        <f>D34/'Cash Flow'!$C$9</f>
        <v>25.990748329571051</v>
      </c>
      <c r="D34" s="39">
        <f>(D$8+D$10+D$24+D$30+D$32)*$A34</f>
        <v>2469121.0913092499</v>
      </c>
      <c r="I34" s="39">
        <f t="shared" ref="I34:AF34" si="28">(I$8+I$10+I$24+I$30+I$32)*$A34</f>
        <v>106706.25</v>
      </c>
      <c r="J34" s="39">
        <f t="shared" si="28"/>
        <v>23246.999999999996</v>
      </c>
      <c r="K34" s="39">
        <f t="shared" si="28"/>
        <v>20411.999999999996</v>
      </c>
      <c r="L34" s="39">
        <f t="shared" si="28"/>
        <v>24664.5</v>
      </c>
      <c r="M34" s="39">
        <f t="shared" si="28"/>
        <v>22774.499999999996</v>
      </c>
      <c r="N34" s="39">
        <f t="shared" si="28"/>
        <v>22774.499999999996</v>
      </c>
      <c r="O34" s="39">
        <f t="shared" si="28"/>
        <v>184163.59130924998</v>
      </c>
      <c r="P34" s="39">
        <f t="shared" si="28"/>
        <v>122823.74999999999</v>
      </c>
      <c r="Q34" s="39">
        <f t="shared" si="28"/>
        <v>122823.74999999999</v>
      </c>
      <c r="R34" s="39">
        <f t="shared" si="28"/>
        <v>122823.74999999999</v>
      </c>
      <c r="S34" s="39">
        <f t="shared" si="28"/>
        <v>122823.74999999999</v>
      </c>
      <c r="T34" s="39">
        <f t="shared" si="28"/>
        <v>122823.74999999999</v>
      </c>
      <c r="U34" s="39">
        <f t="shared" si="28"/>
        <v>122823.74999999999</v>
      </c>
      <c r="V34" s="39">
        <f t="shared" si="28"/>
        <v>122823.74999999999</v>
      </c>
      <c r="W34" s="39">
        <f t="shared" si="28"/>
        <v>122823.74999999999</v>
      </c>
      <c r="X34" s="39">
        <f t="shared" si="28"/>
        <v>122823.74999999999</v>
      </c>
      <c r="Y34" s="39">
        <f t="shared" si="28"/>
        <v>122823.74999999999</v>
      </c>
      <c r="Z34" s="39">
        <f t="shared" si="28"/>
        <v>122823.74999999999</v>
      </c>
      <c r="AA34" s="39">
        <f t="shared" si="28"/>
        <v>118886.24999999999</v>
      </c>
      <c r="AB34" s="39">
        <f t="shared" si="28"/>
        <v>118886.24999999999</v>
      </c>
      <c r="AC34" s="39">
        <f t="shared" si="28"/>
        <v>118886.24999999999</v>
      </c>
      <c r="AD34" s="39">
        <f t="shared" si="28"/>
        <v>118886.24999999999</v>
      </c>
      <c r="AE34" s="39">
        <f t="shared" si="28"/>
        <v>118886.24999999999</v>
      </c>
      <c r="AF34" s="39">
        <f t="shared" si="28"/>
        <v>118886.24999999999</v>
      </c>
      <c r="AH34" s="24">
        <f>ROUND(SUM(I34:AF34),2)</f>
        <v>2469121.09</v>
      </c>
    </row>
    <row r="35" spans="1:34" x14ac:dyDescent="0.25">
      <c r="C35" s="16"/>
      <c r="AH35" s="18"/>
    </row>
    <row r="36" spans="1:34" s="23" customFormat="1" x14ac:dyDescent="0.25">
      <c r="B36" s="21" t="s">
        <v>26</v>
      </c>
      <c r="C36" s="22">
        <f>C8+C10+C24+C30+C32+C34</f>
        <v>314.77684088036045</v>
      </c>
      <c r="D36" s="22">
        <f>D8+D10+D24+D30+D32+D34</f>
        <v>29903799.883634251</v>
      </c>
      <c r="E36" s="21"/>
      <c r="F36" s="21"/>
      <c r="G36" s="21"/>
      <c r="H36" s="21"/>
      <c r="I36" s="22">
        <f t="shared" ref="I36:AF36" si="29">I8+I10+I24+I30+I32+I34</f>
        <v>1292331.25</v>
      </c>
      <c r="J36" s="22">
        <f t="shared" si="29"/>
        <v>281546.99999999994</v>
      </c>
      <c r="K36" s="22">
        <f t="shared" si="29"/>
        <v>247211.99999999997</v>
      </c>
      <c r="L36" s="22">
        <f t="shared" si="29"/>
        <v>298714.5</v>
      </c>
      <c r="M36" s="22">
        <f t="shared" si="29"/>
        <v>275824.49999999994</v>
      </c>
      <c r="N36" s="22">
        <f t="shared" si="29"/>
        <v>275824.49999999994</v>
      </c>
      <c r="O36" s="22">
        <f t="shared" si="29"/>
        <v>2230425.7169675832</v>
      </c>
      <c r="P36" s="22">
        <f t="shared" si="29"/>
        <v>1487532.0833333333</v>
      </c>
      <c r="Q36" s="22">
        <f t="shared" si="29"/>
        <v>1487532.0833333333</v>
      </c>
      <c r="R36" s="22">
        <f t="shared" si="29"/>
        <v>1487532.0833333333</v>
      </c>
      <c r="S36" s="22">
        <f t="shared" si="29"/>
        <v>1487532.0833333333</v>
      </c>
      <c r="T36" s="22">
        <f t="shared" si="29"/>
        <v>1487532.0833333333</v>
      </c>
      <c r="U36" s="22">
        <f t="shared" si="29"/>
        <v>1487532.0833333333</v>
      </c>
      <c r="V36" s="22">
        <f t="shared" si="29"/>
        <v>1487532.0833333333</v>
      </c>
      <c r="W36" s="22">
        <f t="shared" si="29"/>
        <v>1487532.0833333333</v>
      </c>
      <c r="X36" s="22">
        <f t="shared" si="29"/>
        <v>1487532.0833333333</v>
      </c>
      <c r="Y36" s="22">
        <f t="shared" si="29"/>
        <v>1487532.0833333333</v>
      </c>
      <c r="Z36" s="22">
        <f t="shared" si="29"/>
        <v>1487532.0833333333</v>
      </c>
      <c r="AA36" s="22">
        <f t="shared" si="29"/>
        <v>1439844.5833333333</v>
      </c>
      <c r="AB36" s="22">
        <f t="shared" si="29"/>
        <v>1439844.5833333333</v>
      </c>
      <c r="AC36" s="22">
        <f t="shared" si="29"/>
        <v>1439844.5833333333</v>
      </c>
      <c r="AD36" s="22">
        <f t="shared" si="29"/>
        <v>1439844.5833333333</v>
      </c>
      <c r="AE36" s="22">
        <f t="shared" si="29"/>
        <v>1439844.5833333333</v>
      </c>
      <c r="AF36" s="22">
        <f t="shared" si="29"/>
        <v>1439844.5833333333</v>
      </c>
      <c r="AG36" s="21"/>
      <c r="AH36" s="22">
        <f>ROUND(SUM(I36:AF36),2)</f>
        <v>29903799.879999999</v>
      </c>
    </row>
    <row r="40" spans="1:34" x14ac:dyDescent="0.25">
      <c r="B40" t="s">
        <v>64</v>
      </c>
      <c r="C40">
        <f>'Cash Flow'!K13</f>
        <v>0.16181542268474192</v>
      </c>
    </row>
    <row r="42" spans="1:34" x14ac:dyDescent="0.25">
      <c r="B42" t="s">
        <v>183</v>
      </c>
    </row>
    <row r="43" spans="1:34" x14ac:dyDescent="0.25">
      <c r="B43">
        <v>220</v>
      </c>
    </row>
    <row r="44" spans="1:34" x14ac:dyDescent="0.25">
      <c r="B44">
        <v>225</v>
      </c>
    </row>
    <row r="45" spans="1:34" x14ac:dyDescent="0.25">
      <c r="B45">
        <v>230</v>
      </c>
    </row>
    <row r="46" spans="1:34" x14ac:dyDescent="0.25">
      <c r="B46">
        <v>235</v>
      </c>
    </row>
    <row r="47" spans="1:34" x14ac:dyDescent="0.25">
      <c r="B47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20D4-5D43-4A9B-8F90-64A7922648DE}">
  <dimension ref="A1:O43"/>
  <sheetViews>
    <sheetView zoomScale="80" zoomScaleNormal="80" workbookViewId="0">
      <selection activeCell="M14" sqref="M14"/>
    </sheetView>
  </sheetViews>
  <sheetFormatPr defaultRowHeight="15" x14ac:dyDescent="0.25"/>
  <cols>
    <col min="2" max="2" width="26.7109375" bestFit="1" customWidth="1"/>
    <col min="3" max="3" width="10.140625" bestFit="1" customWidth="1"/>
    <col min="6" max="15" width="13.7109375" customWidth="1"/>
  </cols>
  <sheetData>
    <row r="1" spans="1:15" x14ac:dyDescent="0.25">
      <c r="A1" s="86" t="str">
        <f>'Cash Flow'!$A$1</f>
        <v>Final Class Model</v>
      </c>
    </row>
    <row r="2" spans="1:15" x14ac:dyDescent="0.25">
      <c r="A2" s="23" t="s">
        <v>30</v>
      </c>
    </row>
    <row r="7" spans="1:15" x14ac:dyDescent="0.25">
      <c r="B7" s="1" t="s">
        <v>0</v>
      </c>
      <c r="C7" s="1"/>
      <c r="D7" s="1"/>
      <c r="E7" s="1"/>
      <c r="F7" s="1">
        <v>1</v>
      </c>
      <c r="G7" s="1">
        <f>F7+1</f>
        <v>2</v>
      </c>
      <c r="H7" s="1">
        <f t="shared" ref="H7:M7" si="0">G7+1</f>
        <v>3</v>
      </c>
      <c r="I7" s="1">
        <f t="shared" si="0"/>
        <v>4</v>
      </c>
      <c r="J7" s="1">
        <f t="shared" si="0"/>
        <v>5</v>
      </c>
      <c r="K7" s="1">
        <f t="shared" si="0"/>
        <v>6</v>
      </c>
      <c r="L7" s="1">
        <f t="shared" si="0"/>
        <v>7</v>
      </c>
      <c r="M7" s="1">
        <f t="shared" si="0"/>
        <v>8</v>
      </c>
      <c r="N7" s="1"/>
      <c r="O7" s="7" t="s">
        <v>27</v>
      </c>
    </row>
    <row r="8" spans="1:15" x14ac:dyDescent="0.25">
      <c r="I8" s="13" t="s">
        <v>30</v>
      </c>
      <c r="J8" s="13" t="s">
        <v>30</v>
      </c>
      <c r="K8" s="13" t="s">
        <v>30</v>
      </c>
      <c r="L8" s="13" t="s">
        <v>30</v>
      </c>
      <c r="M8" s="13" t="s">
        <v>30</v>
      </c>
    </row>
    <row r="10" spans="1:15" x14ac:dyDescent="0.25">
      <c r="B10" t="s">
        <v>94</v>
      </c>
      <c r="I10" s="16">
        <v>0.03</v>
      </c>
      <c r="J10" s="53">
        <v>0.03</v>
      </c>
      <c r="K10" s="16">
        <v>2.5000000000000001E-2</v>
      </c>
      <c r="L10" s="16">
        <v>2.5000000000000001E-2</v>
      </c>
      <c r="M10" s="16">
        <v>2.5000000000000001E-2</v>
      </c>
    </row>
    <row r="11" spans="1:15" x14ac:dyDescent="0.25">
      <c r="B11" t="s">
        <v>95</v>
      </c>
      <c r="C11" s="32"/>
      <c r="D11" s="32"/>
      <c r="E11" s="32"/>
      <c r="F11" s="32"/>
      <c r="G11" s="32"/>
      <c r="H11" s="32"/>
      <c r="I11" s="58">
        <f>(1+I10)</f>
        <v>1.03</v>
      </c>
      <c r="J11" s="58">
        <f>I11*(1+J$10)</f>
        <v>1.0609</v>
      </c>
      <c r="K11" s="58">
        <f t="shared" ref="K11:M11" si="1">J11*(1+K$10)</f>
        <v>1.0874225</v>
      </c>
      <c r="L11" s="58">
        <f t="shared" si="1"/>
        <v>1.1146080624999999</v>
      </c>
      <c r="M11" s="58">
        <f t="shared" si="1"/>
        <v>1.1424732640624997</v>
      </c>
    </row>
    <row r="12" spans="1:15" x14ac:dyDescent="0.25">
      <c r="B12" t="s">
        <v>96</v>
      </c>
      <c r="I12" s="16">
        <v>1.4999999999999999E-2</v>
      </c>
      <c r="J12" s="53">
        <v>2.5000000000000001E-2</v>
      </c>
      <c r="K12" s="16">
        <v>0.04</v>
      </c>
      <c r="L12" s="16">
        <v>0.03</v>
      </c>
      <c r="M12" s="16">
        <v>0.03</v>
      </c>
    </row>
    <row r="13" spans="1:15" x14ac:dyDescent="0.25">
      <c r="B13" t="s">
        <v>97</v>
      </c>
      <c r="C13" s="32"/>
      <c r="D13" s="32"/>
      <c r="E13" s="32"/>
      <c r="F13" s="32"/>
      <c r="G13" s="32"/>
      <c r="H13" s="32"/>
      <c r="I13" s="58">
        <f>(1+I12)</f>
        <v>1.0149999999999999</v>
      </c>
      <c r="J13" s="58">
        <f>I13*(1+J$12)</f>
        <v>1.0403749999999998</v>
      </c>
      <c r="K13" s="58">
        <f t="shared" ref="K13:L13" si="2">J13*(1+K$12)</f>
        <v>1.0819899999999998</v>
      </c>
      <c r="L13" s="58">
        <f t="shared" si="2"/>
        <v>1.1144496999999998</v>
      </c>
      <c r="M13" s="58">
        <f>L13*(1+M$12)</f>
        <v>1.1478831909999998</v>
      </c>
    </row>
    <row r="14" spans="1:15" x14ac:dyDescent="0.25">
      <c r="C14" s="32"/>
      <c r="D14" s="32"/>
      <c r="E14" s="32"/>
      <c r="F14" s="32"/>
      <c r="G14" s="32"/>
      <c r="H14" s="32"/>
      <c r="I14" s="32"/>
      <c r="J14" s="32"/>
      <c r="K14" s="32"/>
    </row>
    <row r="15" spans="1:15" x14ac:dyDescent="0.25">
      <c r="B15" s="23" t="s">
        <v>31</v>
      </c>
      <c r="C15" s="68">
        <v>2.65</v>
      </c>
      <c r="D15" s="50" t="s">
        <v>32</v>
      </c>
      <c r="E15" s="50"/>
      <c r="F15" s="50"/>
      <c r="G15" s="50"/>
      <c r="H15" s="50"/>
      <c r="I15" s="69">
        <f>$C$15*'Cash Flow'!$C$8*'Cash Flow'!$C$7*12*I$11</f>
        <v>2489304</v>
      </c>
      <c r="J15" s="69">
        <f>$C$15*'Cash Flow'!$C$8*'Cash Flow'!$C$7*12*J$11</f>
        <v>2563983.12</v>
      </c>
      <c r="K15" s="69">
        <f>$C$15*'Cash Flow'!$C$8*'Cash Flow'!$C$7*12*K$11</f>
        <v>2628082.6979999999</v>
      </c>
      <c r="L15" s="69">
        <f>$C$15*'Cash Flow'!$C$8*'Cash Flow'!$C$7*12*L$11</f>
        <v>2693784.7654499998</v>
      </c>
      <c r="M15" s="69">
        <f>$C$15*'Cash Flow'!$C$8*'Cash Flow'!$C$7*12*M$11</f>
        <v>2761129.3845862495</v>
      </c>
      <c r="N15" s="23"/>
      <c r="O15" s="24">
        <f t="shared" ref="O15:O26" si="3">SUM(E15:N15)</f>
        <v>13136283.968036249</v>
      </c>
    </row>
    <row r="16" spans="1:15" x14ac:dyDescent="0.25">
      <c r="B16" t="s">
        <v>33</v>
      </c>
      <c r="C16" s="53">
        <v>0.5</v>
      </c>
      <c r="D16" s="32" t="s">
        <v>101</v>
      </c>
      <c r="E16" s="32"/>
      <c r="F16" s="32"/>
      <c r="G16" s="32"/>
      <c r="H16" s="32"/>
      <c r="I16" s="31">
        <f>-I$15*$C16</f>
        <v>-1244652</v>
      </c>
      <c r="J16" s="32"/>
      <c r="K16" s="32"/>
      <c r="L16" s="32"/>
      <c r="M16" s="32"/>
      <c r="O16" s="9">
        <f t="shared" si="3"/>
        <v>-1244652</v>
      </c>
    </row>
    <row r="17" spans="2:15" x14ac:dyDescent="0.25">
      <c r="B17" s="70" t="s">
        <v>34</v>
      </c>
      <c r="C17" s="71">
        <v>0.05</v>
      </c>
      <c r="D17" s="47" t="s">
        <v>101</v>
      </c>
      <c r="E17" s="47"/>
      <c r="F17" s="47"/>
      <c r="G17" s="47"/>
      <c r="H17" s="47"/>
      <c r="I17" s="47"/>
      <c r="J17" s="31">
        <f t="shared" ref="I17:M20" si="4">-J$15*$C17</f>
        <v>-128199.15600000002</v>
      </c>
      <c r="K17" s="31">
        <f t="shared" si="4"/>
        <v>-131404.1349</v>
      </c>
      <c r="L17" s="31">
        <f t="shared" si="4"/>
        <v>-134689.23827249999</v>
      </c>
      <c r="M17" s="31">
        <f t="shared" si="4"/>
        <v>-138056.46922931247</v>
      </c>
      <c r="N17" s="70"/>
      <c r="O17" s="72">
        <f t="shared" si="3"/>
        <v>-532348.99840181251</v>
      </c>
    </row>
    <row r="18" spans="2:15" x14ac:dyDescent="0.25">
      <c r="B18" s="47" t="s">
        <v>98</v>
      </c>
      <c r="C18" s="71">
        <v>0.03</v>
      </c>
      <c r="D18" s="47" t="s">
        <v>101</v>
      </c>
      <c r="E18" s="47"/>
      <c r="F18" s="47"/>
      <c r="G18" s="47"/>
      <c r="H18" s="47"/>
      <c r="I18" s="31">
        <f>-I$15*$C18</f>
        <v>-74679.12</v>
      </c>
      <c r="J18" s="32"/>
      <c r="K18" s="32"/>
      <c r="L18" s="32"/>
      <c r="M18" s="32"/>
      <c r="N18" s="70"/>
      <c r="O18" s="72">
        <f t="shared" si="3"/>
        <v>-74679.12</v>
      </c>
    </row>
    <row r="19" spans="2:15" x14ac:dyDescent="0.25">
      <c r="B19" s="47" t="s">
        <v>99</v>
      </c>
      <c r="C19" s="73">
        <v>2.5000000000000001E-3</v>
      </c>
      <c r="D19" s="47" t="s">
        <v>101</v>
      </c>
      <c r="E19" s="47"/>
      <c r="F19" s="47"/>
      <c r="G19" s="47"/>
      <c r="H19" s="47"/>
      <c r="I19" s="47"/>
      <c r="J19" s="31">
        <f t="shared" si="4"/>
        <v>-6409.9578000000001</v>
      </c>
      <c r="K19" s="31">
        <f t="shared" si="4"/>
        <v>-6570.2067449999995</v>
      </c>
      <c r="L19" s="31">
        <f t="shared" si="4"/>
        <v>-6734.4619136249994</v>
      </c>
      <c r="M19" s="31">
        <f t="shared" si="4"/>
        <v>-6902.823461465624</v>
      </c>
      <c r="N19" s="70"/>
      <c r="O19" s="72">
        <f t="shared" si="3"/>
        <v>-26617.449920090625</v>
      </c>
    </row>
    <row r="20" spans="2:15" x14ac:dyDescent="0.25">
      <c r="B20" s="19" t="s">
        <v>100</v>
      </c>
      <c r="C20" s="60">
        <v>0</v>
      </c>
      <c r="D20" s="33" t="s">
        <v>101</v>
      </c>
      <c r="E20" s="33"/>
      <c r="F20" s="33"/>
      <c r="G20" s="33"/>
      <c r="H20" s="33"/>
      <c r="I20" s="34">
        <f t="shared" si="4"/>
        <v>0</v>
      </c>
      <c r="J20" s="34">
        <f t="shared" si="4"/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19"/>
      <c r="O20" s="20">
        <f t="shared" si="3"/>
        <v>0</v>
      </c>
    </row>
    <row r="21" spans="2:15" x14ac:dyDescent="0.25">
      <c r="B21" s="23" t="s">
        <v>35</v>
      </c>
      <c r="C21" s="50"/>
      <c r="D21" s="50"/>
      <c r="E21" s="50"/>
      <c r="F21" s="50"/>
      <c r="G21" s="50"/>
      <c r="H21" s="50"/>
      <c r="I21" s="69">
        <f>SUM(I15:I20)</f>
        <v>1169972.8799999999</v>
      </c>
      <c r="J21" s="69">
        <f t="shared" ref="J21:M21" si="5">SUM(J15:J20)</f>
        <v>2429374.0062000002</v>
      </c>
      <c r="K21" s="69">
        <f t="shared" si="5"/>
        <v>2490108.3563549998</v>
      </c>
      <c r="L21" s="69">
        <f t="shared" si="5"/>
        <v>2552361.0652638748</v>
      </c>
      <c r="M21" s="69">
        <f t="shared" si="5"/>
        <v>2616170.0918954713</v>
      </c>
      <c r="N21" s="23"/>
      <c r="O21" s="24">
        <f t="shared" si="3"/>
        <v>11257986.399714347</v>
      </c>
    </row>
    <row r="22" spans="2:15" x14ac:dyDescent="0.25">
      <c r="B22" s="74" t="s">
        <v>102</v>
      </c>
      <c r="C22" s="78">
        <v>25</v>
      </c>
      <c r="D22" s="77" t="s">
        <v>106</v>
      </c>
      <c r="E22" s="75"/>
      <c r="F22" s="75"/>
      <c r="G22" s="75"/>
      <c r="H22" s="75"/>
      <c r="I22" s="76">
        <f>$C22*'Cash Flow'!$C$7*12*I$11*(1-$C$16)</f>
        <v>15450</v>
      </c>
      <c r="J22" s="76">
        <f>$C22*'Cash Flow'!$C$7*12*J$11*(1-$C$17)</f>
        <v>30235.649999999998</v>
      </c>
      <c r="K22" s="76">
        <f>$C22*'Cash Flow'!$C$7*12*K$11*(1-$C$17)</f>
        <v>30991.541249999998</v>
      </c>
      <c r="L22" s="76">
        <f>$C22*'Cash Flow'!$C$7*12*L$11*(1-$C$17)</f>
        <v>31766.329781249999</v>
      </c>
      <c r="M22" s="76">
        <f>$C22*'Cash Flow'!$C$7*12*M$11*(1-$C$17)</f>
        <v>32560.48802578124</v>
      </c>
      <c r="N22" s="74"/>
      <c r="O22" s="9">
        <f t="shared" si="3"/>
        <v>141004.00905703122</v>
      </c>
    </row>
    <row r="23" spans="2:15" x14ac:dyDescent="0.25">
      <c r="B23" s="74" t="s">
        <v>103</v>
      </c>
      <c r="C23" s="78">
        <v>75</v>
      </c>
      <c r="D23" s="77" t="s">
        <v>106</v>
      </c>
      <c r="E23" s="75"/>
      <c r="F23" s="75"/>
      <c r="G23" s="75"/>
      <c r="H23" s="75"/>
      <c r="I23" s="76">
        <f>$C23*'Cash Flow'!$C$7*12*I$11*(1-$C$16)</f>
        <v>46350</v>
      </c>
      <c r="J23" s="76">
        <f>$C23*'Cash Flow'!$C$7*12*J$11*(1-$C$17)</f>
        <v>90706.95</v>
      </c>
      <c r="K23" s="76">
        <f>$C23*'Cash Flow'!$C$7*12*K$11*(1-$C$17)</f>
        <v>92974.623749999984</v>
      </c>
      <c r="L23" s="76">
        <f>$C23*'Cash Flow'!$C$7*12*L$11*(1-$C$17)</f>
        <v>95298.989343749985</v>
      </c>
      <c r="M23" s="76">
        <f>$C23*'Cash Flow'!$C$7*12*M$11*(1-$C$17)</f>
        <v>97681.464077343713</v>
      </c>
      <c r="N23" s="74"/>
      <c r="O23" s="9">
        <f t="shared" si="3"/>
        <v>423012.02717109368</v>
      </c>
    </row>
    <row r="24" spans="2:15" x14ac:dyDescent="0.25">
      <c r="B24" s="74" t="s">
        <v>104</v>
      </c>
      <c r="C24" s="78">
        <v>15</v>
      </c>
      <c r="D24" s="77" t="s">
        <v>106</v>
      </c>
      <c r="E24" s="75"/>
      <c r="F24" s="75"/>
      <c r="G24" s="75"/>
      <c r="H24" s="75"/>
      <c r="I24" s="76">
        <f>$C24*'Cash Flow'!$C$7*12*I$11*(1-$C$16)</f>
        <v>9270</v>
      </c>
      <c r="J24" s="76">
        <f>$C24*'Cash Flow'!$C$7*12*J$11*(1-$C$17)</f>
        <v>18141.39</v>
      </c>
      <c r="K24" s="76">
        <f>$C24*'Cash Flow'!$C$7*12*K$11*(1-$C$17)</f>
        <v>18594.924749999998</v>
      </c>
      <c r="L24" s="76">
        <f>$C24*'Cash Flow'!$C$7*12*L$11*(1-$C$17)</f>
        <v>19059.797868749996</v>
      </c>
      <c r="M24" s="76">
        <f>$C24*'Cash Flow'!$C$7*12*M$11*(1-$C$17)</f>
        <v>19536.292815468743</v>
      </c>
      <c r="N24" s="74"/>
      <c r="O24" s="9">
        <f t="shared" si="3"/>
        <v>84602.40543421873</v>
      </c>
    </row>
    <row r="25" spans="2:15" x14ac:dyDescent="0.25">
      <c r="B25" s="74" t="s">
        <v>105</v>
      </c>
      <c r="C25" s="78">
        <v>5</v>
      </c>
      <c r="D25" s="77" t="s">
        <v>106</v>
      </c>
      <c r="E25" s="75"/>
      <c r="F25" s="75"/>
      <c r="G25" s="75"/>
      <c r="H25" s="75"/>
      <c r="I25" s="76">
        <f>$C25*'Cash Flow'!$C$7*12*I$11*(1-$C$16)</f>
        <v>3090</v>
      </c>
      <c r="J25" s="76">
        <f>$C25*'Cash Flow'!$C$7*12*J$11*(1-$C$17)</f>
        <v>6047.1299999999992</v>
      </c>
      <c r="K25" s="76">
        <f>$C25*'Cash Flow'!$C$7*12*K$11*(1-$C$17)</f>
        <v>6198.3082499999991</v>
      </c>
      <c r="L25" s="76">
        <f>$C25*'Cash Flow'!$C$7*12*L$11*(1-$C$17)</f>
        <v>6353.2659562499994</v>
      </c>
      <c r="M25" s="76">
        <f>$C25*'Cash Flow'!$C$7*12*M$11*(1-$C$17)</f>
        <v>6512.0976051562484</v>
      </c>
      <c r="N25" s="74"/>
      <c r="O25" s="9">
        <f t="shared" si="3"/>
        <v>28200.801811406243</v>
      </c>
    </row>
    <row r="26" spans="2:15" x14ac:dyDescent="0.25">
      <c r="B26" t="s">
        <v>107</v>
      </c>
      <c r="C26" s="78">
        <v>70</v>
      </c>
      <c r="D26" s="77" t="s">
        <v>106</v>
      </c>
      <c r="E26" s="32"/>
      <c r="F26" s="32"/>
      <c r="G26" s="32"/>
      <c r="H26" s="32"/>
      <c r="I26" s="35">
        <f>$C26*'Cash Flow'!$C$7*12*I$11*(1-$C$16)</f>
        <v>43260</v>
      </c>
      <c r="J26" s="35">
        <f>$C26*'Cash Flow'!$C$7*12*J$11*(1-$C$17)</f>
        <v>84659.819999999992</v>
      </c>
      <c r="K26" s="35">
        <f>$C26*'Cash Flow'!$C$7*12*K$11*(1-$C$17)</f>
        <v>86776.315499999982</v>
      </c>
      <c r="L26" s="35">
        <f>$C26*'Cash Flow'!$C$7*12*L$11*(1-$C$17)</f>
        <v>88945.72338749998</v>
      </c>
      <c r="M26" s="35">
        <f>$C26*'Cash Flow'!$C$7*12*M$11*(1-$C$17)</f>
        <v>91169.366472187467</v>
      </c>
      <c r="O26" s="9">
        <f t="shared" si="3"/>
        <v>394811.22535968741</v>
      </c>
    </row>
    <row r="27" spans="2:15" x14ac:dyDescent="0.25">
      <c r="B27" s="21" t="s">
        <v>36</v>
      </c>
      <c r="C27" s="61"/>
      <c r="D27" s="61"/>
      <c r="E27" s="61"/>
      <c r="F27" s="61"/>
      <c r="G27" s="61"/>
      <c r="H27" s="61"/>
      <c r="I27" s="36">
        <f>SUM(I21:I26)</f>
        <v>1287392.8799999999</v>
      </c>
      <c r="J27" s="36">
        <f t="shared" ref="J27:M27" si="6">SUM(J21:J26)</f>
        <v>2659164.9462000001</v>
      </c>
      <c r="K27" s="36">
        <f t="shared" si="6"/>
        <v>2725644.069854999</v>
      </c>
      <c r="L27" s="36">
        <f t="shared" si="6"/>
        <v>2793785.1716013746</v>
      </c>
      <c r="M27" s="36">
        <f t="shared" si="6"/>
        <v>2863629.8008914087</v>
      </c>
      <c r="N27" s="21"/>
      <c r="O27" s="22">
        <f>SUM(E27:N27)</f>
        <v>12329616.868547782</v>
      </c>
    </row>
    <row r="28" spans="2:15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2:15" x14ac:dyDescent="0.25">
      <c r="B29" t="s">
        <v>108</v>
      </c>
      <c r="C29" s="78">
        <v>400</v>
      </c>
      <c r="D29" s="32" t="s">
        <v>118</v>
      </c>
      <c r="E29" s="32"/>
      <c r="F29" s="32"/>
      <c r="G29" s="32"/>
      <c r="H29" s="32"/>
      <c r="I29" s="76">
        <f>-$C29*'Cash Flow'!$C$7*I$13</f>
        <v>-40599.999999999993</v>
      </c>
      <c r="J29" s="76">
        <f>-$C29*'Cash Flow'!$C$7*J$13</f>
        <v>-41614.999999999993</v>
      </c>
      <c r="K29" s="76">
        <f>-$C29*'Cash Flow'!$C$7*K$13</f>
        <v>-43279.599999999991</v>
      </c>
      <c r="L29" s="76">
        <f>-$C29*'Cash Flow'!$C$7*L$13</f>
        <v>-44577.98799999999</v>
      </c>
      <c r="M29" s="76">
        <f>-$C29*'Cash Flow'!$C$7*M$13</f>
        <v>-45915.327639999989</v>
      </c>
      <c r="N29" s="9"/>
      <c r="O29" s="9">
        <f t="shared" ref="O29:O42" si="7">SUM(E29:N29)</f>
        <v>-215987.91563999996</v>
      </c>
    </row>
    <row r="30" spans="2:15" x14ac:dyDescent="0.25">
      <c r="B30" t="s">
        <v>109</v>
      </c>
      <c r="C30" s="78">
        <v>400</v>
      </c>
      <c r="D30" s="32" t="s">
        <v>118</v>
      </c>
      <c r="E30" s="32"/>
      <c r="F30" s="32"/>
      <c r="G30" s="32"/>
      <c r="H30" s="32"/>
      <c r="I30" s="76">
        <f>-$C30*'Cash Flow'!$C$7*I$13</f>
        <v>-40599.999999999993</v>
      </c>
      <c r="J30" s="76">
        <f>-$C30*'Cash Flow'!$C$7*J$13</f>
        <v>-41614.999999999993</v>
      </c>
      <c r="K30" s="76">
        <f>-$C30*'Cash Flow'!$C$7*K$13</f>
        <v>-43279.599999999991</v>
      </c>
      <c r="L30" s="76">
        <f>-$C30*'Cash Flow'!$C$7*L$13</f>
        <v>-44577.98799999999</v>
      </c>
      <c r="M30" s="76">
        <f>-$C30*'Cash Flow'!$C$7*M$13</f>
        <v>-45915.327639999989</v>
      </c>
      <c r="N30" s="9"/>
      <c r="O30" s="9">
        <f t="shared" si="7"/>
        <v>-215987.91563999996</v>
      </c>
    </row>
    <row r="31" spans="2:15" x14ac:dyDescent="0.25">
      <c r="B31" t="s">
        <v>110</v>
      </c>
      <c r="C31" s="78">
        <v>200</v>
      </c>
      <c r="D31" s="32" t="s">
        <v>118</v>
      </c>
      <c r="E31" s="32"/>
      <c r="F31" s="32"/>
      <c r="G31" s="32"/>
      <c r="H31" s="32"/>
      <c r="I31" s="76">
        <f>-$C31*'Cash Flow'!$C$7*I$13</f>
        <v>-20299.999999999996</v>
      </c>
      <c r="J31" s="76">
        <f>-$C31*'Cash Flow'!$C$7*J$13</f>
        <v>-20807.499999999996</v>
      </c>
      <c r="K31" s="76">
        <f>-$C31*'Cash Flow'!$C$7*K$13</f>
        <v>-21639.799999999996</v>
      </c>
      <c r="L31" s="76">
        <f>-$C31*'Cash Flow'!$C$7*L$13</f>
        <v>-22288.993999999995</v>
      </c>
      <c r="M31" s="76">
        <f>-$C31*'Cash Flow'!$C$7*M$13</f>
        <v>-22957.663819999994</v>
      </c>
      <c r="N31" s="9"/>
      <c r="O31" s="9">
        <f t="shared" si="7"/>
        <v>-107993.95781999998</v>
      </c>
    </row>
    <row r="32" spans="2:15" x14ac:dyDescent="0.25">
      <c r="B32" t="s">
        <v>111</v>
      </c>
      <c r="C32" s="78">
        <v>1600</v>
      </c>
      <c r="D32" s="32" t="s">
        <v>118</v>
      </c>
      <c r="E32" s="32"/>
      <c r="F32" s="32"/>
      <c r="G32" s="32"/>
      <c r="H32" s="32"/>
      <c r="I32" s="76">
        <f>-$C32*'Cash Flow'!$C$7*I$13</f>
        <v>-162399.99999999997</v>
      </c>
      <c r="J32" s="76">
        <f>-$C32*'Cash Flow'!$C$7*J$13</f>
        <v>-166459.99999999997</v>
      </c>
      <c r="K32" s="76">
        <f>-$C32*'Cash Flow'!$C$7*K$13</f>
        <v>-173118.39999999997</v>
      </c>
      <c r="L32" s="76">
        <f>-$C32*'Cash Flow'!$C$7*L$13</f>
        <v>-178311.95199999996</v>
      </c>
      <c r="M32" s="76">
        <f>-$C32*'Cash Flow'!$C$7*M$13</f>
        <v>-183661.31055999995</v>
      </c>
      <c r="N32" s="9"/>
      <c r="O32" s="9">
        <f t="shared" si="7"/>
        <v>-863951.66255999985</v>
      </c>
    </row>
    <row r="33" spans="2:15" x14ac:dyDescent="0.25">
      <c r="B33" t="s">
        <v>112</v>
      </c>
      <c r="C33" s="78">
        <v>250</v>
      </c>
      <c r="D33" s="32" t="s">
        <v>118</v>
      </c>
      <c r="E33" s="32"/>
      <c r="F33" s="32"/>
      <c r="G33" s="32"/>
      <c r="H33" s="32"/>
      <c r="I33" s="76">
        <f>-$C33*'Cash Flow'!$C$7*I$13</f>
        <v>-25374.999999999996</v>
      </c>
      <c r="J33" s="76">
        <f>-$C33*'Cash Flow'!$C$7*J$13</f>
        <v>-26009.374999999996</v>
      </c>
      <c r="K33" s="76">
        <f>-$C33*'Cash Flow'!$C$7*K$13</f>
        <v>-27049.749999999996</v>
      </c>
      <c r="L33" s="76">
        <f>-$C33*'Cash Flow'!$C$7*L$13</f>
        <v>-27861.242499999993</v>
      </c>
      <c r="M33" s="76">
        <f>-$C33*'Cash Flow'!$C$7*M$13</f>
        <v>-28697.079774999995</v>
      </c>
      <c r="N33" s="9"/>
      <c r="O33" s="9">
        <f t="shared" si="7"/>
        <v>-134992.44727499998</v>
      </c>
    </row>
    <row r="34" spans="2:15" x14ac:dyDescent="0.25">
      <c r="B34" t="s">
        <v>113</v>
      </c>
      <c r="C34" s="78">
        <v>1750</v>
      </c>
      <c r="D34" s="32" t="s">
        <v>118</v>
      </c>
      <c r="E34" s="32"/>
      <c r="F34" s="32"/>
      <c r="G34" s="32"/>
      <c r="H34" s="32"/>
      <c r="I34" s="76">
        <f>-$C34*'Cash Flow'!$C$7*I$13</f>
        <v>-177624.99999999997</v>
      </c>
      <c r="J34" s="76">
        <f>-$C34*'Cash Flow'!$C$7*J$13</f>
        <v>-182065.62499999997</v>
      </c>
      <c r="K34" s="76">
        <f>-$C34*'Cash Flow'!$C$7*K$13</f>
        <v>-189348.24999999997</v>
      </c>
      <c r="L34" s="76">
        <f>-$C34*'Cash Flow'!$C$7*L$13</f>
        <v>-195028.69749999995</v>
      </c>
      <c r="M34" s="76">
        <f>-$C34*'Cash Flow'!$C$7*M$13</f>
        <v>-200879.55842499997</v>
      </c>
      <c r="N34" s="9"/>
      <c r="O34" s="9">
        <f t="shared" si="7"/>
        <v>-944947.13092499971</v>
      </c>
    </row>
    <row r="35" spans="2:15" x14ac:dyDescent="0.25">
      <c r="B35" t="s">
        <v>114</v>
      </c>
      <c r="C35" s="78">
        <v>600</v>
      </c>
      <c r="D35" s="32" t="s">
        <v>118</v>
      </c>
      <c r="E35" s="32"/>
      <c r="F35" s="32"/>
      <c r="G35" s="32"/>
      <c r="H35" s="32"/>
      <c r="I35" s="76">
        <f>-$C35*'Cash Flow'!$C$7*I$13</f>
        <v>-60899.999999999993</v>
      </c>
      <c r="J35" s="76">
        <f>-$C35*'Cash Flow'!$C$7*J$13</f>
        <v>-62422.499999999993</v>
      </c>
      <c r="K35" s="76">
        <f>-$C35*'Cash Flow'!$C$7*K$13</f>
        <v>-64919.399999999987</v>
      </c>
      <c r="L35" s="76">
        <f>-$C35*'Cash Flow'!$C$7*L$13</f>
        <v>-66866.981999999989</v>
      </c>
      <c r="M35" s="76">
        <f>-$C35*'Cash Flow'!$C$7*M$13</f>
        <v>-68872.99145999999</v>
      </c>
      <c r="N35" s="9"/>
      <c r="O35" s="9">
        <f t="shared" si="7"/>
        <v>-323981.87345999992</v>
      </c>
    </row>
    <row r="36" spans="2:15" x14ac:dyDescent="0.25">
      <c r="B36" t="s">
        <v>115</v>
      </c>
      <c r="C36" s="78">
        <v>400</v>
      </c>
      <c r="D36" s="32" t="s">
        <v>118</v>
      </c>
      <c r="E36" s="32"/>
      <c r="F36" s="32"/>
      <c r="G36" s="32"/>
      <c r="H36" s="32"/>
      <c r="I36" s="76">
        <f>-$C36*'Cash Flow'!$C$7*I$13</f>
        <v>-40599.999999999993</v>
      </c>
      <c r="J36" s="76">
        <f>-$C36*'Cash Flow'!$C$7*J$13</f>
        <v>-41614.999999999993</v>
      </c>
      <c r="K36" s="76">
        <f>-$C36*'Cash Flow'!$C$7*K$13</f>
        <v>-43279.599999999991</v>
      </c>
      <c r="L36" s="76">
        <f>-$C36*'Cash Flow'!$C$7*L$13</f>
        <v>-44577.98799999999</v>
      </c>
      <c r="M36" s="76">
        <f>-$C36*'Cash Flow'!$C$7*M$13</f>
        <v>-45915.327639999989</v>
      </c>
      <c r="N36" s="9"/>
      <c r="O36" s="9">
        <f t="shared" si="7"/>
        <v>-215987.91563999996</v>
      </c>
    </row>
    <row r="37" spans="2:15" x14ac:dyDescent="0.25">
      <c r="B37" t="s">
        <v>116</v>
      </c>
      <c r="C37" s="71">
        <v>0.03</v>
      </c>
      <c r="D37" s="47" t="s">
        <v>119</v>
      </c>
      <c r="E37" s="32"/>
      <c r="F37" s="32"/>
      <c r="G37" s="32"/>
      <c r="H37" s="32"/>
      <c r="I37" s="31">
        <f>-$C37*I$27</f>
        <v>-38621.786399999997</v>
      </c>
      <c r="J37" s="31">
        <f t="shared" ref="J37:M37" si="8">-$C37*J$27</f>
        <v>-79774.948386000004</v>
      </c>
      <c r="K37" s="31">
        <f t="shared" si="8"/>
        <v>-81769.322095649972</v>
      </c>
      <c r="L37" s="31">
        <f t="shared" si="8"/>
        <v>-83813.55514804124</v>
      </c>
      <c r="M37" s="31">
        <f t="shared" si="8"/>
        <v>-85908.894026742259</v>
      </c>
      <c r="N37" s="9"/>
      <c r="O37" s="9">
        <f t="shared" si="7"/>
        <v>-369888.50605643349</v>
      </c>
    </row>
    <row r="38" spans="2:15" x14ac:dyDescent="0.25">
      <c r="B38" t="s">
        <v>117</v>
      </c>
      <c r="C38" s="78">
        <v>250</v>
      </c>
      <c r="D38" s="32" t="s">
        <v>118</v>
      </c>
      <c r="I38" s="76">
        <f>-$C38*'Cash Flow'!$C$7*I$13</f>
        <v>-25374.999999999996</v>
      </c>
      <c r="J38" s="76">
        <f>-$C38*'Cash Flow'!$C$7*J$13</f>
        <v>-26009.374999999996</v>
      </c>
      <c r="K38" s="76">
        <f>-$C38*'Cash Flow'!$C$7*K$13</f>
        <v>-27049.749999999996</v>
      </c>
      <c r="L38" s="76">
        <f>-$C38*'Cash Flow'!$C$7*L$13</f>
        <v>-27861.242499999993</v>
      </c>
      <c r="M38" s="76">
        <f>-$C38*'Cash Flow'!$C$7*M$13</f>
        <v>-28697.079774999995</v>
      </c>
      <c r="N38" s="9"/>
      <c r="O38" s="9">
        <f t="shared" si="7"/>
        <v>-134992.44727499998</v>
      </c>
    </row>
    <row r="39" spans="2:15" x14ac:dyDescent="0.25">
      <c r="B39" s="21" t="s">
        <v>37</v>
      </c>
      <c r="C39" s="21"/>
      <c r="D39" s="21"/>
      <c r="E39" s="21"/>
      <c r="F39" s="21"/>
      <c r="G39" s="21"/>
      <c r="H39" s="21"/>
      <c r="I39" s="37">
        <f>SUM(I29:I38)</f>
        <v>-632396.78639999987</v>
      </c>
      <c r="J39" s="37">
        <f t="shared" ref="J39:M39" si="9">SUM(J29:J38)</f>
        <v>-688394.32338599989</v>
      </c>
      <c r="K39" s="37">
        <f t="shared" si="9"/>
        <v>-714733.47209564992</v>
      </c>
      <c r="L39" s="37">
        <f t="shared" si="9"/>
        <v>-735766.62964804098</v>
      </c>
      <c r="M39" s="37">
        <f t="shared" si="9"/>
        <v>-757420.56076174229</v>
      </c>
      <c r="N39" s="22"/>
      <c r="O39" s="22">
        <f t="shared" si="7"/>
        <v>-3528711.7722914331</v>
      </c>
    </row>
    <row r="40" spans="2:15" x14ac:dyDescent="0.25">
      <c r="B40" s="82" t="s">
        <v>120</v>
      </c>
      <c r="C40" s="82"/>
      <c r="D40" s="82"/>
      <c r="E40" s="82"/>
      <c r="F40" s="82"/>
      <c r="G40" s="82"/>
      <c r="H40" s="82"/>
      <c r="I40" s="83">
        <f>-I39/'Cash Flow'!$C$7</f>
        <v>6323.9678639999984</v>
      </c>
      <c r="J40" s="83">
        <f>-J39/'Cash Flow'!$C$7</f>
        <v>6883.9432338599991</v>
      </c>
      <c r="K40" s="83">
        <f>-K39/'Cash Flow'!$C$7</f>
        <v>7147.334720956499</v>
      </c>
      <c r="L40" s="83">
        <f>-L39/'Cash Flow'!$C$7</f>
        <v>7357.66629648041</v>
      </c>
      <c r="M40" s="83">
        <f>-M39/'Cash Flow'!$C$7</f>
        <v>7574.2056076174231</v>
      </c>
      <c r="N40" s="84"/>
      <c r="O40" s="84"/>
    </row>
    <row r="42" spans="2:15" ht="15.75" thickBot="1" x14ac:dyDescent="0.3">
      <c r="B42" s="65" t="s">
        <v>38</v>
      </c>
      <c r="C42" s="65"/>
      <c r="D42" s="65"/>
      <c r="E42" s="65"/>
      <c r="F42" s="65"/>
      <c r="G42" s="65"/>
      <c r="H42" s="65"/>
      <c r="I42" s="66">
        <f>I27+I39</f>
        <v>654996.09360000002</v>
      </c>
      <c r="J42" s="66">
        <f t="shared" ref="J42:M42" si="10">J27+J39</f>
        <v>1970770.6228140001</v>
      </c>
      <c r="K42" s="66">
        <f t="shared" si="10"/>
        <v>2010910.597759349</v>
      </c>
      <c r="L42" s="66">
        <f t="shared" si="10"/>
        <v>2058018.5419533337</v>
      </c>
      <c r="M42" s="66">
        <f t="shared" si="10"/>
        <v>2106209.2401296664</v>
      </c>
      <c r="N42" s="65"/>
      <c r="O42" s="67">
        <f t="shared" si="7"/>
        <v>8800905.0962563492</v>
      </c>
    </row>
    <row r="43" spans="2:15" x14ac:dyDescent="0.25">
      <c r="B43" s="45" t="s">
        <v>121</v>
      </c>
      <c r="C43" s="45"/>
      <c r="D43" s="45"/>
      <c r="E43" s="45"/>
      <c r="F43" s="45"/>
      <c r="G43" s="45"/>
      <c r="H43" s="45"/>
      <c r="I43" s="46">
        <f>I42/I27</f>
        <v>0.50877716024031461</v>
      </c>
      <c r="J43" s="46">
        <f t="shared" ref="J43:M43" si="11">J42/J27</f>
        <v>0.74112387260153634</v>
      </c>
      <c r="K43" s="46">
        <f t="shared" si="11"/>
        <v>0.73777446585911977</v>
      </c>
      <c r="L43" s="46">
        <f>L42/L27</f>
        <v>0.73664165837550577</v>
      </c>
      <c r="M43" s="46">
        <f t="shared" si="11"/>
        <v>0.73550332500172766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60A1-3E51-4342-9E0B-EF38A78CA59B}">
  <dimension ref="A1:AF49"/>
  <sheetViews>
    <sheetView tabSelected="1" zoomScale="80" zoomScaleNormal="80" workbookViewId="0">
      <selection activeCell="F9" sqref="F9"/>
    </sheetView>
  </sheetViews>
  <sheetFormatPr defaultRowHeight="15" x14ac:dyDescent="0.25"/>
  <cols>
    <col min="2" max="2" width="21.42578125" bestFit="1" customWidth="1"/>
    <col min="3" max="3" width="13.140625" customWidth="1"/>
    <col min="4" max="4" width="13.7109375" customWidth="1"/>
    <col min="6" max="32" width="12.7109375" customWidth="1"/>
  </cols>
  <sheetData>
    <row r="1" spans="1:32" x14ac:dyDescent="0.25">
      <c r="A1" s="86" t="str">
        <f>'Cash Flow'!$A$1</f>
        <v>Final Class Model</v>
      </c>
    </row>
    <row r="2" spans="1:32" x14ac:dyDescent="0.25">
      <c r="A2" s="23" t="s">
        <v>54</v>
      </c>
      <c r="B2" s="50"/>
      <c r="C2" s="32"/>
      <c r="D2" s="32"/>
    </row>
    <row r="3" spans="1:32" x14ac:dyDescent="0.25">
      <c r="A3" s="23"/>
      <c r="B3" s="50"/>
      <c r="C3" s="32"/>
      <c r="D3" s="32"/>
    </row>
    <row r="4" spans="1:32" x14ac:dyDescent="0.25">
      <c r="A4" s="23"/>
      <c r="B4" s="50"/>
      <c r="C4" s="32"/>
      <c r="D4" s="32"/>
    </row>
    <row r="5" spans="1:32" x14ac:dyDescent="0.25">
      <c r="B5" s="1" t="s">
        <v>124</v>
      </c>
      <c r="C5" s="87"/>
      <c r="D5" s="87"/>
      <c r="E5" s="1"/>
      <c r="F5" s="1">
        <v>1</v>
      </c>
      <c r="G5" s="1">
        <f>F5+1</f>
        <v>2</v>
      </c>
      <c r="H5" s="1">
        <f t="shared" ref="H5:AD5" si="0">G5+1</f>
        <v>3</v>
      </c>
      <c r="I5" s="1">
        <f t="shared" si="0"/>
        <v>4</v>
      </c>
      <c r="J5" s="1">
        <f t="shared" si="0"/>
        <v>5</v>
      </c>
      <c r="K5" s="1">
        <f t="shared" si="0"/>
        <v>6</v>
      </c>
      <c r="L5" s="1">
        <f t="shared" si="0"/>
        <v>7</v>
      </c>
      <c r="M5" s="1">
        <f t="shared" si="0"/>
        <v>8</v>
      </c>
      <c r="N5" s="1">
        <f t="shared" si="0"/>
        <v>9</v>
      </c>
      <c r="O5" s="1">
        <f t="shared" si="0"/>
        <v>10</v>
      </c>
      <c r="P5" s="1">
        <f t="shared" si="0"/>
        <v>11</v>
      </c>
      <c r="Q5" s="1">
        <f t="shared" si="0"/>
        <v>12</v>
      </c>
      <c r="R5" s="1">
        <f t="shared" si="0"/>
        <v>13</v>
      </c>
      <c r="S5" s="1">
        <f t="shared" si="0"/>
        <v>14</v>
      </c>
      <c r="T5" s="1">
        <f t="shared" si="0"/>
        <v>15</v>
      </c>
      <c r="U5" s="1">
        <f t="shared" si="0"/>
        <v>16</v>
      </c>
      <c r="V5" s="1">
        <f t="shared" si="0"/>
        <v>17</v>
      </c>
      <c r="W5" s="1">
        <f t="shared" si="0"/>
        <v>18</v>
      </c>
      <c r="X5" s="1">
        <f t="shared" si="0"/>
        <v>19</v>
      </c>
      <c r="Y5" s="1">
        <f t="shared" si="0"/>
        <v>20</v>
      </c>
      <c r="Z5" s="1">
        <f t="shared" si="0"/>
        <v>21</v>
      </c>
      <c r="AA5" s="1">
        <f t="shared" si="0"/>
        <v>22</v>
      </c>
      <c r="AB5" s="1">
        <f t="shared" si="0"/>
        <v>23</v>
      </c>
      <c r="AC5" s="1">
        <f t="shared" si="0"/>
        <v>24</v>
      </c>
      <c r="AD5" s="1">
        <f t="shared" si="0"/>
        <v>25</v>
      </c>
      <c r="AE5" s="1"/>
      <c r="AF5" s="7" t="s">
        <v>27</v>
      </c>
    </row>
    <row r="6" spans="1:32" x14ac:dyDescent="0.25">
      <c r="B6" t="s">
        <v>142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f>F6+1</f>
        <v>2</v>
      </c>
      <c r="S6">
        <f t="shared" ref="S6:AD6" si="1">G6+1</f>
        <v>2</v>
      </c>
      <c r="T6">
        <f t="shared" si="1"/>
        <v>2</v>
      </c>
      <c r="U6">
        <f t="shared" si="1"/>
        <v>2</v>
      </c>
      <c r="V6">
        <f t="shared" si="1"/>
        <v>2</v>
      </c>
      <c r="W6">
        <f t="shared" si="1"/>
        <v>2</v>
      </c>
      <c r="X6">
        <f t="shared" si="1"/>
        <v>2</v>
      </c>
      <c r="Y6">
        <f t="shared" si="1"/>
        <v>2</v>
      </c>
      <c r="Z6">
        <f t="shared" si="1"/>
        <v>2</v>
      </c>
      <c r="AA6">
        <f t="shared" si="1"/>
        <v>2</v>
      </c>
      <c r="AB6">
        <f t="shared" si="1"/>
        <v>2</v>
      </c>
      <c r="AC6">
        <f t="shared" si="1"/>
        <v>2</v>
      </c>
      <c r="AD6">
        <f t="shared" si="1"/>
        <v>3</v>
      </c>
    </row>
    <row r="9" spans="1:32" x14ac:dyDescent="0.25">
      <c r="B9" s="50" t="s">
        <v>143</v>
      </c>
      <c r="C9" s="32"/>
      <c r="D9" s="32"/>
      <c r="F9" s="9">
        <f>Development!I36</f>
        <v>1292331.25</v>
      </c>
      <c r="G9" s="9">
        <f>Development!J36</f>
        <v>281546.99999999994</v>
      </c>
      <c r="H9" s="9">
        <f>Development!K36</f>
        <v>247211.99999999997</v>
      </c>
      <c r="I9" s="9">
        <f>Development!L36</f>
        <v>298714.5</v>
      </c>
      <c r="J9" s="9">
        <f>Development!M36</f>
        <v>275824.49999999994</v>
      </c>
      <c r="K9" s="9">
        <f>Development!N36</f>
        <v>275824.49999999994</v>
      </c>
      <c r="L9" s="9">
        <f>Development!O36</f>
        <v>2230425.7169675832</v>
      </c>
      <c r="M9" s="9">
        <f>Development!P36</f>
        <v>1487532.0833333333</v>
      </c>
      <c r="N9" s="9">
        <f>Development!Q36</f>
        <v>1487532.0833333333</v>
      </c>
      <c r="O9" s="9">
        <f>Development!R36</f>
        <v>1487532.0833333333</v>
      </c>
      <c r="P9" s="9">
        <f>Development!S36</f>
        <v>1487532.0833333333</v>
      </c>
      <c r="Q9" s="9">
        <f>Development!T36</f>
        <v>1487532.0833333333</v>
      </c>
      <c r="R9" s="9">
        <f>Development!U36</f>
        <v>1487532.0833333333</v>
      </c>
      <c r="S9" s="9">
        <f>Development!V36</f>
        <v>1487532.0833333333</v>
      </c>
      <c r="T9" s="9">
        <f>Development!W36</f>
        <v>1487532.0833333333</v>
      </c>
      <c r="U9" s="9">
        <f>Development!X36</f>
        <v>1487532.0833333333</v>
      </c>
      <c r="V9" s="9">
        <f>Development!Y36</f>
        <v>1487532.0833333333</v>
      </c>
      <c r="W9" s="9">
        <f>Development!Z36</f>
        <v>1487532.0833333333</v>
      </c>
      <c r="X9" s="9">
        <f>Development!AA36</f>
        <v>1439844.5833333333</v>
      </c>
      <c r="Y9" s="9">
        <f>Development!AB36</f>
        <v>1439844.5833333333</v>
      </c>
      <c r="Z9" s="9">
        <f>Development!AC36</f>
        <v>1439844.5833333333</v>
      </c>
      <c r="AA9" s="9">
        <f>Development!AD36</f>
        <v>1439844.5833333333</v>
      </c>
      <c r="AB9" s="9">
        <f>Development!AE36</f>
        <v>1439844.5833333333</v>
      </c>
      <c r="AC9" s="9">
        <f>Development!AF36</f>
        <v>1439844.5833333333</v>
      </c>
      <c r="AD9" s="9">
        <f>Development!AG36</f>
        <v>0</v>
      </c>
      <c r="AF9" s="18">
        <f>SUM(F9:AE9)</f>
        <v>29903799.883634239</v>
      </c>
    </row>
    <row r="10" spans="1:32" s="74" customFormat="1" x14ac:dyDescent="0.25">
      <c r="B10" s="75" t="s">
        <v>55</v>
      </c>
      <c r="C10" s="75"/>
      <c r="D10" s="75"/>
      <c r="F10" s="98">
        <f>MIN(F$9,'Cash Flow'!$G$7-SUM($E$10:E$10))</f>
        <v>1292331.25</v>
      </c>
      <c r="G10" s="98">
        <f>MIN(G$9,'Cash Flow'!$G$7-SUM($E$10:F$10))</f>
        <v>281546.99999999994</v>
      </c>
      <c r="H10" s="98">
        <f>MIN(H$9,'Cash Flow'!$G$7-SUM($E$10:G$10))</f>
        <v>247211.99999999997</v>
      </c>
      <c r="I10" s="98">
        <f>MIN(I$9,'Cash Flow'!$G$7-SUM($E$10:H$10))</f>
        <v>298714.5</v>
      </c>
      <c r="J10" s="98">
        <f>MIN(J$9,'Cash Flow'!$G$7-SUM($E$10:I$10))</f>
        <v>275824.49999999994</v>
      </c>
      <c r="K10" s="98">
        <f>MIN(K$9,'Cash Flow'!$G$7-SUM($E$10:J$10))</f>
        <v>275824.49999999994</v>
      </c>
      <c r="L10" s="98">
        <f>MIN(L$9,'Cash Flow'!$G$7-SUM($E$10:K$10))</f>
        <v>2230425.7169675832</v>
      </c>
      <c r="M10" s="98">
        <f>MIN(M$9,'Cash Flow'!$G$7-SUM($E$10:L$10))</f>
        <v>1487532.0833333333</v>
      </c>
      <c r="N10" s="98">
        <f>MIN(N$9,'Cash Flow'!$G$7-SUM($E$10:M$10))</f>
        <v>1487532.0833333333</v>
      </c>
      <c r="O10" s="98">
        <f>MIN(O$9,'Cash Flow'!$G$7-SUM($E$10:N$10))</f>
        <v>1091856.2500000056</v>
      </c>
      <c r="P10" s="98">
        <f>MIN(P$9,'Cash Flow'!$G$7-SUM($E$10:O$10))</f>
        <v>0</v>
      </c>
      <c r="Q10" s="98">
        <f>MIN(Q$9,'Cash Flow'!$G$7-SUM($E$10:P$10))</f>
        <v>0</v>
      </c>
      <c r="R10" s="98">
        <f>MIN(R$9,'Cash Flow'!$G$7-SUM($E$10:Q$10))</f>
        <v>0</v>
      </c>
      <c r="S10" s="98">
        <f>MIN(S$9,'Cash Flow'!$G$7-SUM($E$10:R$10))</f>
        <v>0</v>
      </c>
      <c r="T10" s="98">
        <f>MIN(T$9,'Cash Flow'!$G$7-SUM($E$10:S$10))</f>
        <v>0</v>
      </c>
      <c r="U10" s="98">
        <f>MIN(U$9,'Cash Flow'!$G$7-SUM($E$10:T$10))</f>
        <v>0</v>
      </c>
      <c r="V10" s="98">
        <f>MIN(V$9,'Cash Flow'!$G$7-SUM($E$10:U$10))</f>
        <v>0</v>
      </c>
      <c r="W10" s="98">
        <f>MIN(W$9,'Cash Flow'!$G$7-SUM($E$10:V$10))</f>
        <v>0</v>
      </c>
      <c r="X10" s="98">
        <f>MIN(X$9,'Cash Flow'!$G$7-SUM($E$10:W$10))</f>
        <v>0</v>
      </c>
      <c r="Y10" s="98">
        <f>MIN(Y$9,'Cash Flow'!$G$7-SUM($E$10:X$10))</f>
        <v>0</v>
      </c>
      <c r="Z10" s="98">
        <f>MIN(Z$9,'Cash Flow'!$G$7-SUM($E$10:Y$10))</f>
        <v>0</v>
      </c>
      <c r="AA10" s="98">
        <f>MIN(AA$9,'Cash Flow'!$G$7-SUM($E$10:Z$10))</f>
        <v>0</v>
      </c>
      <c r="AB10" s="98">
        <f>MIN(AB$9,'Cash Flow'!$G$7-SUM($E$10:AA$10))</f>
        <v>0</v>
      </c>
      <c r="AC10" s="98">
        <f>MIN(AC$9,'Cash Flow'!$G$7-SUM($E$10:AB$10))</f>
        <v>0</v>
      </c>
      <c r="AD10" s="98">
        <f>MIN(AD$9,'Cash Flow'!$G$7-SUM($E$10:AC$10))</f>
        <v>0</v>
      </c>
      <c r="AF10" s="18">
        <f>SUM(F10:AE10)</f>
        <v>8968799.8836342543</v>
      </c>
    </row>
    <row r="11" spans="1:32" s="74" customFormat="1" x14ac:dyDescent="0.25">
      <c r="B11" s="75" t="s">
        <v>42</v>
      </c>
      <c r="C11" s="75"/>
      <c r="D11" s="75"/>
      <c r="F11" s="98">
        <f>F9-F10</f>
        <v>0</v>
      </c>
      <c r="G11" s="98">
        <f t="shared" ref="G11:AC11" si="2">G9-G10</f>
        <v>0</v>
      </c>
      <c r="H11" s="98">
        <f t="shared" si="2"/>
        <v>0</v>
      </c>
      <c r="I11" s="98">
        <f t="shared" si="2"/>
        <v>0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0</v>
      </c>
      <c r="N11" s="98">
        <f t="shared" si="2"/>
        <v>0</v>
      </c>
      <c r="O11" s="98">
        <f t="shared" si="2"/>
        <v>395675.83333332767</v>
      </c>
      <c r="P11" s="98">
        <f t="shared" si="2"/>
        <v>1487532.0833333333</v>
      </c>
      <c r="Q11" s="98">
        <f t="shared" si="2"/>
        <v>1487532.0833333333</v>
      </c>
      <c r="R11" s="98">
        <f t="shared" si="2"/>
        <v>1487532.0833333333</v>
      </c>
      <c r="S11" s="98">
        <f t="shared" si="2"/>
        <v>1487532.0833333333</v>
      </c>
      <c r="T11" s="98">
        <f t="shared" si="2"/>
        <v>1487532.0833333333</v>
      </c>
      <c r="U11" s="98">
        <f t="shared" si="2"/>
        <v>1487532.0833333333</v>
      </c>
      <c r="V11" s="98">
        <f t="shared" si="2"/>
        <v>1487532.0833333333</v>
      </c>
      <c r="W11" s="98">
        <f t="shared" si="2"/>
        <v>1487532.0833333333</v>
      </c>
      <c r="X11" s="98">
        <f t="shared" si="2"/>
        <v>1439844.5833333333</v>
      </c>
      <c r="Y11" s="98">
        <f t="shared" si="2"/>
        <v>1439844.5833333333</v>
      </c>
      <c r="Z11" s="98">
        <f t="shared" si="2"/>
        <v>1439844.5833333333</v>
      </c>
      <c r="AA11" s="98">
        <f t="shared" si="2"/>
        <v>1439844.5833333333</v>
      </c>
      <c r="AB11" s="98">
        <f t="shared" si="2"/>
        <v>1439844.5833333333</v>
      </c>
      <c r="AC11" s="98">
        <f t="shared" si="2"/>
        <v>1439844.5833333333</v>
      </c>
      <c r="AD11" s="98">
        <f t="shared" ref="AD11" si="3">AD9-AD10</f>
        <v>0</v>
      </c>
      <c r="AF11" s="18">
        <f>SUM(F11:AE11)</f>
        <v>20934999.999999993</v>
      </c>
    </row>
    <row r="12" spans="1:32" x14ac:dyDescent="0.25">
      <c r="B12" s="50"/>
      <c r="C12" s="32"/>
      <c r="D12" s="32"/>
    </row>
    <row r="13" spans="1:32" x14ac:dyDescent="0.25">
      <c r="B13" s="50"/>
      <c r="C13" s="32"/>
      <c r="D13" s="32"/>
    </row>
    <row r="14" spans="1:32" x14ac:dyDescent="0.25">
      <c r="B14" s="50" t="s">
        <v>42</v>
      </c>
      <c r="C14" s="32"/>
      <c r="D14" s="32"/>
    </row>
    <row r="15" spans="1:32" x14ac:dyDescent="0.25">
      <c r="B15" s="32" t="s">
        <v>43</v>
      </c>
      <c r="C15" s="52">
        <v>0.7</v>
      </c>
      <c r="D15" s="32"/>
    </row>
    <row r="16" spans="1:32" x14ac:dyDescent="0.25">
      <c r="B16" s="32" t="s">
        <v>44</v>
      </c>
      <c r="C16" s="30">
        <f>MROUND('Cash Flow'!C12*C15,5000)</f>
        <v>20935000</v>
      </c>
      <c r="D16" s="32"/>
    </row>
    <row r="17" spans="2:32" x14ac:dyDescent="0.25">
      <c r="B17" s="32" t="s">
        <v>45</v>
      </c>
      <c r="C17" s="55">
        <v>4.4999999999999998E-2</v>
      </c>
      <c r="D17" s="32"/>
    </row>
    <row r="18" spans="2:32" x14ac:dyDescent="0.25">
      <c r="B18" s="32" t="s">
        <v>46</v>
      </c>
      <c r="C18" s="56">
        <v>3</v>
      </c>
      <c r="D18" s="32" t="s">
        <v>47</v>
      </c>
    </row>
    <row r="19" spans="2:32" x14ac:dyDescent="0.25">
      <c r="F19" s="32"/>
    </row>
    <row r="20" spans="2:32" x14ac:dyDescent="0.25">
      <c r="B20" s="23" t="s">
        <v>73</v>
      </c>
    </row>
    <row r="21" spans="2:32" x14ac:dyDescent="0.25">
      <c r="B21" t="s">
        <v>75</v>
      </c>
      <c r="F21" s="9">
        <f>E25</f>
        <v>0</v>
      </c>
      <c r="G21" s="9">
        <f t="shared" ref="G21:AD21" si="4">F25</f>
        <v>0</v>
      </c>
      <c r="H21" s="9">
        <f t="shared" si="4"/>
        <v>0</v>
      </c>
      <c r="I21" s="9">
        <f t="shared" si="4"/>
        <v>0</v>
      </c>
      <c r="J21" s="9">
        <f t="shared" si="4"/>
        <v>0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9">
        <f t="shared" si="4"/>
        <v>0</v>
      </c>
      <c r="O21" s="9">
        <f t="shared" si="4"/>
        <v>0</v>
      </c>
      <c r="P21" s="9">
        <f t="shared" si="4"/>
        <v>395675.83333332767</v>
      </c>
      <c r="Q21" s="9">
        <f t="shared" si="4"/>
        <v>1884691.701041661</v>
      </c>
      <c r="R21" s="9">
        <f t="shared" si="4"/>
        <v>3379291.3782539004</v>
      </c>
      <c r="S21" s="9">
        <f t="shared" si="4"/>
        <v>4879495.8042556858</v>
      </c>
      <c r="T21" s="9">
        <f t="shared" si="4"/>
        <v>6385325.9968549777</v>
      </c>
      <c r="U21" s="9">
        <f t="shared" si="4"/>
        <v>7896803.0526765166</v>
      </c>
      <c r="V21" s="9">
        <f t="shared" si="4"/>
        <v>9413948.1474573873</v>
      </c>
      <c r="W21" s="9">
        <f t="shared" si="4"/>
        <v>10936782.536343686</v>
      </c>
      <c r="X21" s="9">
        <f t="shared" si="4"/>
        <v>12465327.554188309</v>
      </c>
      <c r="Y21" s="9">
        <f t="shared" si="4"/>
        <v>13951917.115849849</v>
      </c>
      <c r="Z21" s="9">
        <f t="shared" si="4"/>
        <v>15444081.388367619</v>
      </c>
      <c r="AA21" s="9">
        <f t="shared" si="4"/>
        <v>16941841.276907329</v>
      </c>
      <c r="AB21" s="9">
        <f t="shared" si="4"/>
        <v>18445217.765029062</v>
      </c>
      <c r="AC21" s="9">
        <f t="shared" si="4"/>
        <v>19954231.914981253</v>
      </c>
      <c r="AD21" s="9">
        <f t="shared" si="4"/>
        <v>21468904.867995765</v>
      </c>
    </row>
    <row r="22" spans="2:32" x14ac:dyDescent="0.25">
      <c r="B22" t="s">
        <v>76</v>
      </c>
      <c r="F22" s="9">
        <f>F11</f>
        <v>0</v>
      </c>
      <c r="G22" s="9">
        <f t="shared" ref="G22:AC22" si="5">G11</f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0</v>
      </c>
      <c r="L22" s="9">
        <f t="shared" si="5"/>
        <v>0</v>
      </c>
      <c r="M22" s="9">
        <f t="shared" si="5"/>
        <v>0</v>
      </c>
      <c r="N22" s="9">
        <f t="shared" si="5"/>
        <v>0</v>
      </c>
      <c r="O22" s="9">
        <f t="shared" si="5"/>
        <v>395675.83333332767</v>
      </c>
      <c r="P22" s="9">
        <f t="shared" si="5"/>
        <v>1487532.0833333333</v>
      </c>
      <c r="Q22" s="9">
        <f t="shared" si="5"/>
        <v>1487532.0833333333</v>
      </c>
      <c r="R22" s="9">
        <f t="shared" si="5"/>
        <v>1487532.0833333333</v>
      </c>
      <c r="S22" s="9">
        <f t="shared" si="5"/>
        <v>1487532.0833333333</v>
      </c>
      <c r="T22" s="9">
        <f t="shared" si="5"/>
        <v>1487532.0833333333</v>
      </c>
      <c r="U22" s="9">
        <f t="shared" si="5"/>
        <v>1487532.0833333333</v>
      </c>
      <c r="V22" s="9">
        <f t="shared" si="5"/>
        <v>1487532.0833333333</v>
      </c>
      <c r="W22" s="9">
        <f t="shared" si="5"/>
        <v>1487532.0833333333</v>
      </c>
      <c r="X22" s="9">
        <f t="shared" si="5"/>
        <v>1439844.5833333333</v>
      </c>
      <c r="Y22" s="9">
        <f t="shared" si="5"/>
        <v>1439844.5833333333</v>
      </c>
      <c r="Z22" s="9">
        <f t="shared" si="5"/>
        <v>1439844.5833333333</v>
      </c>
      <c r="AA22" s="9">
        <f t="shared" si="5"/>
        <v>1439844.5833333333</v>
      </c>
      <c r="AB22" s="9">
        <f t="shared" si="5"/>
        <v>1439844.5833333333</v>
      </c>
      <c r="AC22" s="9">
        <f t="shared" si="5"/>
        <v>1439844.5833333333</v>
      </c>
      <c r="AD22" s="9">
        <f>AD11</f>
        <v>0</v>
      </c>
      <c r="AF22" s="18">
        <f>SUM(F22:AE22)</f>
        <v>20934999.999999993</v>
      </c>
    </row>
    <row r="23" spans="2:32" x14ac:dyDescent="0.25">
      <c r="B23" t="s">
        <v>77</v>
      </c>
      <c r="F23" s="9">
        <f>F$21*$C$17/12</f>
        <v>0</v>
      </c>
      <c r="G23" s="9">
        <f t="shared" ref="G23:AC23" si="6">G$21*$C$17/12</f>
        <v>0</v>
      </c>
      <c r="H23" s="9">
        <f t="shared" si="6"/>
        <v>0</v>
      </c>
      <c r="I23" s="9">
        <f t="shared" si="6"/>
        <v>0</v>
      </c>
      <c r="J23" s="9">
        <f t="shared" si="6"/>
        <v>0</v>
      </c>
      <c r="K23" s="9">
        <f t="shared" si="6"/>
        <v>0</v>
      </c>
      <c r="L23" s="9">
        <f t="shared" si="6"/>
        <v>0</v>
      </c>
      <c r="M23" s="9">
        <f t="shared" si="6"/>
        <v>0</v>
      </c>
      <c r="N23" s="9">
        <f t="shared" si="6"/>
        <v>0</v>
      </c>
      <c r="O23" s="9">
        <f t="shared" si="6"/>
        <v>0</v>
      </c>
      <c r="P23" s="9">
        <f t="shared" si="6"/>
        <v>1483.7843749999786</v>
      </c>
      <c r="Q23" s="9">
        <f t="shared" si="6"/>
        <v>7067.5938789062284</v>
      </c>
      <c r="R23" s="9">
        <f t="shared" si="6"/>
        <v>12672.342668452126</v>
      </c>
      <c r="S23" s="9">
        <f t="shared" si="6"/>
        <v>18298.109265958821</v>
      </c>
      <c r="T23" s="9">
        <f t="shared" si="6"/>
        <v>23944.972488206167</v>
      </c>
      <c r="U23" s="9">
        <f t="shared" si="6"/>
        <v>29613.011447536934</v>
      </c>
      <c r="V23" s="9">
        <f t="shared" si="6"/>
        <v>35302.305552965197</v>
      </c>
      <c r="W23" s="9">
        <f t="shared" si="6"/>
        <v>41012.934511288819</v>
      </c>
      <c r="X23" s="9">
        <f t="shared" si="6"/>
        <v>46744.978328206162</v>
      </c>
      <c r="Y23" s="9">
        <f t="shared" si="6"/>
        <v>52319.689184436931</v>
      </c>
      <c r="Z23" s="9">
        <f t="shared" si="6"/>
        <v>57915.305206378573</v>
      </c>
      <c r="AA23" s="9">
        <f t="shared" si="6"/>
        <v>63531.904788402484</v>
      </c>
      <c r="AB23" s="9">
        <f t="shared" si="6"/>
        <v>69169.566618858982</v>
      </c>
      <c r="AC23" s="9">
        <f t="shared" si="6"/>
        <v>74828.369681179698</v>
      </c>
      <c r="AD23" s="9">
        <f>AD$21*$C$17/12</f>
        <v>80508.393254984112</v>
      </c>
      <c r="AF23" s="18">
        <f>SUM(F23:AE23)</f>
        <v>614413.26125076134</v>
      </c>
    </row>
    <row r="24" spans="2:32" x14ac:dyDescent="0.25">
      <c r="B24" t="s">
        <v>78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>
        <f>(AD21+AD22+AD23)</f>
        <v>21549413.261250749</v>
      </c>
    </row>
    <row r="25" spans="2:32" x14ac:dyDescent="0.25">
      <c r="B25" t="s">
        <v>79</v>
      </c>
      <c r="F25" s="9">
        <f>F21+F22+F23-F24</f>
        <v>0</v>
      </c>
      <c r="G25" s="9">
        <f t="shared" ref="G25:AC25" si="7">G21+G22+G23-G24</f>
        <v>0</v>
      </c>
      <c r="H25" s="9">
        <f t="shared" si="7"/>
        <v>0</v>
      </c>
      <c r="I25" s="9">
        <f t="shared" si="7"/>
        <v>0</v>
      </c>
      <c r="J25" s="9">
        <f t="shared" si="7"/>
        <v>0</v>
      </c>
      <c r="K25" s="9">
        <f t="shared" si="7"/>
        <v>0</v>
      </c>
      <c r="L25" s="9">
        <f t="shared" si="7"/>
        <v>0</v>
      </c>
      <c r="M25" s="9">
        <f t="shared" si="7"/>
        <v>0</v>
      </c>
      <c r="N25" s="9">
        <f t="shared" si="7"/>
        <v>0</v>
      </c>
      <c r="O25" s="9">
        <f t="shared" si="7"/>
        <v>395675.83333332767</v>
      </c>
      <c r="P25" s="9">
        <f t="shared" si="7"/>
        <v>1884691.701041661</v>
      </c>
      <c r="Q25" s="9">
        <f t="shared" si="7"/>
        <v>3379291.3782539004</v>
      </c>
      <c r="R25" s="9">
        <f t="shared" si="7"/>
        <v>4879495.8042556858</v>
      </c>
      <c r="S25" s="9">
        <f t="shared" si="7"/>
        <v>6385325.9968549777</v>
      </c>
      <c r="T25" s="9">
        <f t="shared" si="7"/>
        <v>7896803.0526765166</v>
      </c>
      <c r="U25" s="9">
        <f t="shared" si="7"/>
        <v>9413948.1474573873</v>
      </c>
      <c r="V25" s="9">
        <f t="shared" si="7"/>
        <v>10936782.536343686</v>
      </c>
      <c r="W25" s="9">
        <f t="shared" si="7"/>
        <v>12465327.554188309</v>
      </c>
      <c r="X25" s="9">
        <f t="shared" si="7"/>
        <v>13951917.115849849</v>
      </c>
      <c r="Y25" s="9">
        <f t="shared" si="7"/>
        <v>15444081.388367619</v>
      </c>
      <c r="Z25" s="9">
        <f t="shared" si="7"/>
        <v>16941841.276907329</v>
      </c>
      <c r="AA25" s="9">
        <f t="shared" si="7"/>
        <v>18445217.765029062</v>
      </c>
      <c r="AB25" s="9">
        <f t="shared" si="7"/>
        <v>19954231.914981253</v>
      </c>
      <c r="AC25" s="9">
        <f t="shared" si="7"/>
        <v>21468904.867995765</v>
      </c>
      <c r="AD25" s="9">
        <f t="shared" ref="AD25" si="8">AD21+AD22+AD23-AD24</f>
        <v>0</v>
      </c>
    </row>
    <row r="28" spans="2:32" x14ac:dyDescent="0.25">
      <c r="B28" s="50" t="s">
        <v>48</v>
      </c>
      <c r="C28" s="32"/>
    </row>
    <row r="29" spans="2:32" x14ac:dyDescent="0.25">
      <c r="B29" s="32" t="s">
        <v>49</v>
      </c>
      <c r="C29" s="52">
        <v>0.67500000000000004</v>
      </c>
    </row>
    <row r="30" spans="2:32" x14ac:dyDescent="0.25">
      <c r="B30" s="32" t="s">
        <v>148</v>
      </c>
      <c r="C30" s="56">
        <v>1.2</v>
      </c>
    </row>
    <row r="31" spans="2:32" x14ac:dyDescent="0.25">
      <c r="B31" s="32" t="s">
        <v>149</v>
      </c>
      <c r="C31" s="30">
        <f>$C$29*'Cash Flow'!$C$16</f>
        <v>25338479.436180007</v>
      </c>
    </row>
    <row r="32" spans="2:32" x14ac:dyDescent="0.25">
      <c r="B32" s="32" t="s">
        <v>150</v>
      </c>
      <c r="C32" s="30">
        <f>-PV($C$34/12,$C$36*12,Operations!$J$42/Debt!$C$30/12)</f>
        <v>26085021.604020972</v>
      </c>
      <c r="D32" s="9"/>
    </row>
    <row r="33" spans="2:13" x14ac:dyDescent="0.25">
      <c r="B33" s="32" t="s">
        <v>44</v>
      </c>
      <c r="C33" s="18">
        <f>MROUND(MIN(C31:C32),5000)</f>
        <v>25340000</v>
      </c>
      <c r="D33" s="44"/>
    </row>
    <row r="34" spans="2:13" x14ac:dyDescent="0.25">
      <c r="B34" s="32" t="s">
        <v>45</v>
      </c>
      <c r="C34" s="55">
        <v>4.8000000000000001E-2</v>
      </c>
    </row>
    <row r="35" spans="2:13" x14ac:dyDescent="0.25">
      <c r="B35" s="32" t="s">
        <v>46</v>
      </c>
      <c r="C35" s="56">
        <v>5</v>
      </c>
    </row>
    <row r="36" spans="2:13" x14ac:dyDescent="0.25">
      <c r="B36" t="s">
        <v>50</v>
      </c>
      <c r="C36" s="2">
        <v>30</v>
      </c>
    </row>
    <row r="37" spans="2:13" x14ac:dyDescent="0.25">
      <c r="B37" s="32" t="s">
        <v>51</v>
      </c>
      <c r="C37" s="56">
        <v>2</v>
      </c>
    </row>
    <row r="38" spans="2:13" s="32" customFormat="1" x14ac:dyDescent="0.25"/>
    <row r="39" spans="2:13" x14ac:dyDescent="0.25">
      <c r="B39" s="1" t="s">
        <v>144</v>
      </c>
      <c r="C39" s="87"/>
      <c r="D39" s="87"/>
      <c r="E39" s="1"/>
      <c r="F39" s="1">
        <v>1</v>
      </c>
      <c r="G39" s="1">
        <f>F39+1</f>
        <v>2</v>
      </c>
      <c r="H39" s="1">
        <f t="shared" ref="H39" si="9">G39+1</f>
        <v>3</v>
      </c>
      <c r="I39" s="1">
        <f t="shared" ref="I39" si="10">H39+1</f>
        <v>4</v>
      </c>
      <c r="J39" s="1">
        <f t="shared" ref="J39" si="11">I39+1</f>
        <v>5</v>
      </c>
      <c r="K39" s="1">
        <f t="shared" ref="K39" si="12">J39+1</f>
        <v>6</v>
      </c>
      <c r="L39" s="1">
        <f t="shared" ref="L39" si="13">K39+1</f>
        <v>7</v>
      </c>
    </row>
    <row r="40" spans="2:13" s="32" customFormat="1" x14ac:dyDescent="0.25">
      <c r="B40" s="102" t="s">
        <v>147</v>
      </c>
      <c r="C40" s="103"/>
      <c r="D40" s="103"/>
      <c r="E40" s="104"/>
      <c r="F40" s="104"/>
      <c r="G40" s="104"/>
      <c r="H40" s="102">
        <v>1</v>
      </c>
      <c r="I40" s="102">
        <v>2</v>
      </c>
      <c r="J40" s="102">
        <v>3</v>
      </c>
      <c r="K40" s="102">
        <v>4</v>
      </c>
      <c r="L40" s="102">
        <v>5</v>
      </c>
    </row>
    <row r="41" spans="2:13" s="32" customFormat="1" x14ac:dyDescent="0.25">
      <c r="B41" s="99"/>
      <c r="C41" s="100"/>
      <c r="D41" s="100"/>
      <c r="E41" s="99"/>
      <c r="F41" s="99"/>
      <c r="G41" s="99"/>
      <c r="H41" s="99"/>
      <c r="I41" s="99"/>
      <c r="J41" s="99"/>
    </row>
    <row r="42" spans="2:13" x14ac:dyDescent="0.25">
      <c r="B42" s="23" t="s">
        <v>74</v>
      </c>
    </row>
    <row r="43" spans="2:13" x14ac:dyDescent="0.25">
      <c r="B43" t="s">
        <v>80</v>
      </c>
      <c r="H43" s="18">
        <f>G49</f>
        <v>0</v>
      </c>
      <c r="I43" s="18">
        <f>H49</f>
        <v>25340000</v>
      </c>
      <c r="J43" s="18">
        <f t="shared" ref="J43:L43" si="14">I49</f>
        <v>25340000</v>
      </c>
      <c r="K43" s="18">
        <f t="shared" si="14"/>
        <v>24960917.590518869</v>
      </c>
      <c r="L43" s="18">
        <f t="shared" si="14"/>
        <v>24563639.225382645</v>
      </c>
      <c r="M43" s="18"/>
    </row>
    <row r="44" spans="2:13" x14ac:dyDescent="0.25">
      <c r="B44" t="s">
        <v>81</v>
      </c>
      <c r="H44" s="18">
        <f>C33</f>
        <v>25340000</v>
      </c>
    </row>
    <row r="45" spans="2:13" s="32" customFormat="1" x14ac:dyDescent="0.25">
      <c r="B45" s="32" t="s">
        <v>39</v>
      </c>
      <c r="H45" s="30">
        <f>IF(H$40&lt;=$C$37,SUM(H$43,H$44)*$C$34,PMT($C$34/12,$C$36*12,-$C$33)*12)</f>
        <v>1216320</v>
      </c>
      <c r="I45" s="30">
        <f t="shared" ref="I45:L45" si="15">IF(I$40&lt;=$C$37,SUM(I$43,I$44)*$C$34,PMT($C$34/12,$C$36*12,-$C$33)*12)</f>
        <v>1216320</v>
      </c>
      <c r="J45" s="30">
        <f t="shared" si="15"/>
        <v>1595402.4094811305</v>
      </c>
      <c r="K45" s="30">
        <f t="shared" si="15"/>
        <v>1595402.4094811305</v>
      </c>
      <c r="L45" s="30">
        <f t="shared" si="15"/>
        <v>1595402.4094811305</v>
      </c>
      <c r="M45" s="30"/>
    </row>
    <row r="46" spans="2:13" x14ac:dyDescent="0.25">
      <c r="B46" t="s">
        <v>145</v>
      </c>
      <c r="H46" s="30">
        <f>SUM(H$43,H$44)*$C$34</f>
        <v>1216320</v>
      </c>
      <c r="I46" s="30">
        <f t="shared" ref="I46:L46" si="16">SUM(I$43,I$44)*$C$34</f>
        <v>1216320</v>
      </c>
      <c r="J46" s="30">
        <f t="shared" si="16"/>
        <v>1216320</v>
      </c>
      <c r="K46" s="30">
        <f t="shared" si="16"/>
        <v>1198124.0443449058</v>
      </c>
      <c r="L46" s="30">
        <f t="shared" si="16"/>
        <v>1179054.6828183669</v>
      </c>
      <c r="M46" s="18"/>
    </row>
    <row r="47" spans="2:13" x14ac:dyDescent="0.25">
      <c r="B47" t="s">
        <v>82</v>
      </c>
      <c r="H47" s="30">
        <f>H45-H46</f>
        <v>0</v>
      </c>
      <c r="I47" s="18">
        <f>I45-I46</f>
        <v>0</v>
      </c>
      <c r="J47" s="18">
        <f t="shared" ref="J47:L47" si="17">J45-J46</f>
        <v>379082.40948113054</v>
      </c>
      <c r="K47" s="18">
        <f t="shared" si="17"/>
        <v>397278.36513622478</v>
      </c>
      <c r="L47" s="18">
        <f t="shared" si="17"/>
        <v>416347.72666276363</v>
      </c>
      <c r="M47" s="18"/>
    </row>
    <row r="48" spans="2:13" x14ac:dyDescent="0.25">
      <c r="B48" t="s">
        <v>78</v>
      </c>
      <c r="L48" s="18">
        <f>L43-L47</f>
        <v>24147291.498719882</v>
      </c>
      <c r="M48" s="18"/>
    </row>
    <row r="49" spans="2:13" x14ac:dyDescent="0.25">
      <c r="B49" t="s">
        <v>79</v>
      </c>
      <c r="H49" s="18">
        <f>H43+H44-H47-H48</f>
        <v>25340000</v>
      </c>
      <c r="I49" s="18">
        <f t="shared" ref="I49:L49" si="18">I43+I44-I47-I48</f>
        <v>25340000</v>
      </c>
      <c r="J49" s="18">
        <f t="shared" si="18"/>
        <v>24960917.590518869</v>
      </c>
      <c r="K49" s="18">
        <f t="shared" si="18"/>
        <v>24563639.225382645</v>
      </c>
      <c r="L49" s="18">
        <f t="shared" si="18"/>
        <v>0</v>
      </c>
      <c r="M4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E804-D38C-42AE-B2C8-CE5E910CC428}">
  <dimension ref="A1:R58"/>
  <sheetViews>
    <sheetView zoomScale="80" zoomScaleNormal="80" workbookViewId="0">
      <pane ySplit="7" topLeftCell="A29" activePane="bottomLeft" state="frozen"/>
      <selection pane="bottomLeft" activeCell="I32" sqref="I32"/>
    </sheetView>
  </sheetViews>
  <sheetFormatPr defaultRowHeight="15" x14ac:dyDescent="0.25"/>
  <cols>
    <col min="2" max="2" width="22.140625" bestFit="1" customWidth="1"/>
    <col min="4" max="11" width="12.28515625" customWidth="1"/>
    <col min="12" max="12" width="12.5703125" bestFit="1" customWidth="1"/>
    <col min="13" max="13" width="11.28515625" bestFit="1" customWidth="1"/>
  </cols>
  <sheetData>
    <row r="1" spans="1:12" x14ac:dyDescent="0.25">
      <c r="A1" s="86" t="str">
        <f>'Cash Flow'!$A$1</f>
        <v>Final Class Model</v>
      </c>
    </row>
    <row r="2" spans="1:12" x14ac:dyDescent="0.25">
      <c r="A2" s="23" t="s">
        <v>151</v>
      </c>
    </row>
    <row r="6" spans="1:12" x14ac:dyDescent="0.25">
      <c r="B6" s="1" t="s">
        <v>144</v>
      </c>
      <c r="C6" s="87"/>
      <c r="D6" s="87"/>
      <c r="E6" s="1"/>
      <c r="F6" s="1">
        <v>1</v>
      </c>
      <c r="G6" s="1">
        <f>F6+1</f>
        <v>2</v>
      </c>
      <c r="H6" s="1">
        <f t="shared" ref="H6:L6" si="0">G6+1</f>
        <v>3</v>
      </c>
      <c r="I6" s="1">
        <f t="shared" si="0"/>
        <v>4</v>
      </c>
      <c r="J6" s="1">
        <f t="shared" si="0"/>
        <v>5</v>
      </c>
      <c r="K6" s="1">
        <f t="shared" si="0"/>
        <v>6</v>
      </c>
      <c r="L6" s="1">
        <f t="shared" si="0"/>
        <v>7</v>
      </c>
    </row>
    <row r="7" spans="1:12" x14ac:dyDescent="0.25">
      <c r="B7" s="102" t="s">
        <v>147</v>
      </c>
      <c r="C7" s="103"/>
      <c r="D7" s="103"/>
      <c r="E7" s="104"/>
      <c r="F7" s="104"/>
      <c r="G7" s="104"/>
      <c r="H7" s="102">
        <v>1</v>
      </c>
      <c r="I7" s="102">
        <v>2</v>
      </c>
      <c r="J7" s="102">
        <v>3</v>
      </c>
      <c r="K7" s="102">
        <v>4</v>
      </c>
      <c r="L7" s="102">
        <v>5</v>
      </c>
    </row>
    <row r="9" spans="1:12" x14ac:dyDescent="0.25">
      <c r="B9" s="23" t="s">
        <v>155</v>
      </c>
      <c r="C9" s="23"/>
      <c r="D9" s="23"/>
      <c r="E9" s="23"/>
      <c r="F9" s="24">
        <f>'Cash Flow'!F59</f>
        <v>-8968799.8836342543</v>
      </c>
      <c r="G9" s="24">
        <f>'Cash Flow'!G59</f>
        <v>0</v>
      </c>
      <c r="H9" s="24">
        <f>'Cash Flow'!H59</f>
        <v>0</v>
      </c>
      <c r="I9" s="24">
        <f>'Cash Flow'!I59</f>
        <v>0</v>
      </c>
      <c r="J9" s="24">
        <f>'Cash Flow'!J59</f>
        <v>0</v>
      </c>
      <c r="K9" s="24">
        <f>'Cash Flow'!K59</f>
        <v>0</v>
      </c>
      <c r="L9" s="24">
        <f>'Cash Flow'!L59</f>
        <v>0</v>
      </c>
    </row>
    <row r="10" spans="1:12" x14ac:dyDescent="0.25">
      <c r="B10" t="s">
        <v>153</v>
      </c>
      <c r="C10" s="16">
        <v>7.4999999999999997E-2</v>
      </c>
      <c r="F10" s="9">
        <f>F$9*$C10</f>
        <v>-672659.99127256905</v>
      </c>
      <c r="G10" s="9">
        <f t="shared" ref="G10:L11" si="1">G$9*$C10</f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</row>
    <row r="11" spans="1:12" x14ac:dyDescent="0.25">
      <c r="B11" t="s">
        <v>154</v>
      </c>
      <c r="C11" s="17">
        <f>1-C10</f>
        <v>0.92500000000000004</v>
      </c>
      <c r="F11" s="9">
        <f>F$9*$C11</f>
        <v>-8296139.8923616856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</row>
    <row r="13" spans="1:12" x14ac:dyDescent="0.25">
      <c r="B13" s="23" t="s">
        <v>156</v>
      </c>
      <c r="C13" s="23"/>
      <c r="D13" s="23"/>
      <c r="E13" s="23"/>
      <c r="F13" s="24">
        <f>'Cash Flow'!F$92-F$9</f>
        <v>0</v>
      </c>
      <c r="G13" s="24">
        <f>'Cash Flow'!G$92-G$9</f>
        <v>0</v>
      </c>
      <c r="H13" s="24">
        <f>'Cash Flow'!H$92-H$9</f>
        <v>3229262.832349251</v>
      </c>
      <c r="I13" s="24">
        <f>'Cash Flow'!I$92-I$9</f>
        <v>754450.62281400012</v>
      </c>
      <c r="J13" s="24">
        <f>'Cash Flow'!J$92-J$9</f>
        <v>415508.1882782185</v>
      </c>
      <c r="K13" s="24">
        <f>'Cash Flow'!K$92-K$9</f>
        <v>462616.13247220311</v>
      </c>
      <c r="L13" s="24">
        <f>'Cash Flow'!L$92-L$9</f>
        <v>13892334.519693617</v>
      </c>
    </row>
    <row r="14" spans="1:12" x14ac:dyDescent="0.25">
      <c r="B14" t="s">
        <v>153</v>
      </c>
      <c r="C14" s="111">
        <f>C10</f>
        <v>7.4999999999999997E-2</v>
      </c>
      <c r="F14" s="9">
        <f t="shared" ref="F14:L15" si="2">F$13*$C14</f>
        <v>0</v>
      </c>
      <c r="G14" s="9">
        <f t="shared" si="2"/>
        <v>0</v>
      </c>
      <c r="H14" s="9">
        <f t="shared" si="2"/>
        <v>242194.71242619382</v>
      </c>
      <c r="I14" s="9">
        <f t="shared" si="2"/>
        <v>56583.79671105001</v>
      </c>
      <c r="J14" s="9">
        <f t="shared" si="2"/>
        <v>31163.114120866387</v>
      </c>
      <c r="K14" s="9">
        <f t="shared" si="2"/>
        <v>34696.209935415231</v>
      </c>
      <c r="L14" s="9">
        <f t="shared" si="2"/>
        <v>1041925.0889770212</v>
      </c>
    </row>
    <row r="15" spans="1:12" x14ac:dyDescent="0.25">
      <c r="B15" t="s">
        <v>154</v>
      </c>
      <c r="C15" s="111">
        <f>C11</f>
        <v>0.92500000000000004</v>
      </c>
      <c r="F15" s="9">
        <f t="shared" si="2"/>
        <v>0</v>
      </c>
      <c r="G15" s="9">
        <f t="shared" si="2"/>
        <v>0</v>
      </c>
      <c r="H15" s="9">
        <f t="shared" si="2"/>
        <v>2987068.1199230575</v>
      </c>
      <c r="I15" s="9">
        <f t="shared" si="2"/>
        <v>697866.82610295014</v>
      </c>
      <c r="J15" s="9">
        <f t="shared" si="2"/>
        <v>384345.07415735215</v>
      </c>
      <c r="K15" s="9">
        <f t="shared" si="2"/>
        <v>427919.92253678793</v>
      </c>
      <c r="L15" s="9">
        <f t="shared" si="2"/>
        <v>12850409.430716597</v>
      </c>
    </row>
    <row r="18" spans="2:13" x14ac:dyDescent="0.25">
      <c r="B18" s="23" t="s">
        <v>157</v>
      </c>
      <c r="C18" s="17"/>
      <c r="F18" s="18"/>
      <c r="G18" s="18"/>
      <c r="H18" s="18"/>
      <c r="I18" s="18"/>
      <c r="J18" s="18"/>
      <c r="K18" s="18"/>
      <c r="L18" s="18"/>
    </row>
    <row r="19" spans="2:13" x14ac:dyDescent="0.25">
      <c r="B19" t="s">
        <v>158</v>
      </c>
      <c r="F19" s="9">
        <f>E23</f>
        <v>0</v>
      </c>
      <c r="G19" s="9">
        <f t="shared" ref="G19:L19" si="3">F23</f>
        <v>-8296139.8923616856</v>
      </c>
      <c r="H19" s="9">
        <f t="shared" si="3"/>
        <v>-9125753.8815978542</v>
      </c>
      <c r="I19" s="9">
        <f t="shared" si="3"/>
        <v>-7051261.1498345826</v>
      </c>
      <c r="J19" s="9">
        <f t="shared" si="3"/>
        <v>-7058520.438715091</v>
      </c>
      <c r="K19" s="9">
        <f t="shared" si="3"/>
        <v>-7380027.4084292473</v>
      </c>
      <c r="L19" s="9">
        <f t="shared" si="3"/>
        <v>-7690110.2267353842</v>
      </c>
    </row>
    <row r="20" spans="2:13" x14ac:dyDescent="0.25">
      <c r="B20" t="s">
        <v>159</v>
      </c>
      <c r="F20" s="18">
        <f>F$11</f>
        <v>-8296139.8923616856</v>
      </c>
      <c r="G20" s="18">
        <f t="shared" ref="G20:L20" si="4">G$11</f>
        <v>0</v>
      </c>
      <c r="H20" s="18">
        <f t="shared" si="4"/>
        <v>0</v>
      </c>
      <c r="I20" s="18">
        <f t="shared" si="4"/>
        <v>0</v>
      </c>
      <c r="J20" s="18">
        <f t="shared" si="4"/>
        <v>0</v>
      </c>
      <c r="K20" s="18">
        <f t="shared" si="4"/>
        <v>0</v>
      </c>
      <c r="L20" s="18">
        <f t="shared" si="4"/>
        <v>0</v>
      </c>
    </row>
    <row r="21" spans="2:13" x14ac:dyDescent="0.25">
      <c r="B21" t="s">
        <v>160</v>
      </c>
      <c r="C21" s="110">
        <v>0.1</v>
      </c>
      <c r="F21" s="18">
        <f>SUM(F$19)*$C$21</f>
        <v>0</v>
      </c>
      <c r="G21" s="18">
        <f t="shared" ref="G21:L21" si="5">SUM(G$19)*$C$21</f>
        <v>-829613.98923616856</v>
      </c>
      <c r="H21" s="18">
        <f t="shared" si="5"/>
        <v>-912575.38815978542</v>
      </c>
      <c r="I21" s="18">
        <f t="shared" si="5"/>
        <v>-705126.1149834583</v>
      </c>
      <c r="J21" s="18">
        <f t="shared" si="5"/>
        <v>-705852.04387150914</v>
      </c>
      <c r="K21" s="18">
        <f t="shared" si="5"/>
        <v>-738002.7408429248</v>
      </c>
      <c r="L21" s="18">
        <f t="shared" si="5"/>
        <v>-769011.02267353842</v>
      </c>
      <c r="M21" s="18"/>
    </row>
    <row r="22" spans="2:13" x14ac:dyDescent="0.25">
      <c r="B22" t="s">
        <v>161</v>
      </c>
      <c r="F22" s="18">
        <f>MIN(F15,-SUM(F19:F21))</f>
        <v>0</v>
      </c>
      <c r="G22" s="18">
        <f t="shared" ref="G22:K22" si="6">MIN(G15,-SUM(G19:G21))</f>
        <v>0</v>
      </c>
      <c r="H22" s="18">
        <f t="shared" si="6"/>
        <v>2987068.1199230575</v>
      </c>
      <c r="I22" s="18">
        <f t="shared" si="6"/>
        <v>697866.82610295014</v>
      </c>
      <c r="J22" s="18">
        <f t="shared" si="6"/>
        <v>384345.07415735215</v>
      </c>
      <c r="K22" s="18">
        <f t="shared" si="6"/>
        <v>427919.92253678793</v>
      </c>
      <c r="L22" s="18">
        <f>MIN(L15,-SUM(L19:L21))</f>
        <v>8459121.2494089231</v>
      </c>
    </row>
    <row r="23" spans="2:13" x14ac:dyDescent="0.25">
      <c r="B23" t="s">
        <v>79</v>
      </c>
      <c r="F23" s="18">
        <f>SUM(F19:F22)</f>
        <v>-8296139.8923616856</v>
      </c>
      <c r="G23" s="18">
        <f t="shared" ref="G23:L23" si="7">SUM(G19:G22)</f>
        <v>-9125753.8815978542</v>
      </c>
      <c r="H23" s="18">
        <f t="shared" si="7"/>
        <v>-7051261.1498345826</v>
      </c>
      <c r="I23" s="18">
        <f t="shared" si="7"/>
        <v>-7058520.438715091</v>
      </c>
      <c r="J23" s="18">
        <f t="shared" si="7"/>
        <v>-7380027.4084292473</v>
      </c>
      <c r="K23" s="18">
        <f t="shared" si="7"/>
        <v>-7690110.2267353842</v>
      </c>
      <c r="L23" s="18">
        <f t="shared" si="7"/>
        <v>0</v>
      </c>
    </row>
    <row r="25" spans="2:13" x14ac:dyDescent="0.25">
      <c r="B25" t="s">
        <v>164</v>
      </c>
      <c r="F25" s="18">
        <f>F15-F22</f>
        <v>0</v>
      </c>
      <c r="G25" s="18">
        <f t="shared" ref="G25:L25" si="8">G15-G22</f>
        <v>0</v>
      </c>
      <c r="H25" s="18">
        <f t="shared" si="8"/>
        <v>0</v>
      </c>
      <c r="I25" s="18">
        <f t="shared" si="8"/>
        <v>0</v>
      </c>
      <c r="J25" s="18">
        <f t="shared" si="8"/>
        <v>0</v>
      </c>
      <c r="K25" s="18">
        <f t="shared" si="8"/>
        <v>0</v>
      </c>
      <c r="L25" s="18">
        <f t="shared" si="8"/>
        <v>4391288.1813076735</v>
      </c>
    </row>
    <row r="26" spans="2:13" x14ac:dyDescent="0.25">
      <c r="D26" s="17"/>
      <c r="F26" s="18"/>
      <c r="G26" s="18"/>
      <c r="H26" s="18"/>
      <c r="I26" s="18"/>
      <c r="J26" s="18"/>
      <c r="K26" s="18"/>
      <c r="L26" s="18"/>
    </row>
    <row r="27" spans="2:13" x14ac:dyDescent="0.25">
      <c r="B27" t="s">
        <v>162</v>
      </c>
    </row>
    <row r="28" spans="2:13" x14ac:dyDescent="0.25">
      <c r="B28" t="s">
        <v>154</v>
      </c>
      <c r="C28" s="110">
        <v>0.8</v>
      </c>
      <c r="F28" s="18">
        <f>F$25*$C28</f>
        <v>0</v>
      </c>
      <c r="G28" s="18">
        <f t="shared" ref="G28:L29" si="9">G$25*$C28</f>
        <v>0</v>
      </c>
      <c r="H28" s="18">
        <f t="shared" si="9"/>
        <v>0</v>
      </c>
      <c r="I28" s="18">
        <f t="shared" si="9"/>
        <v>0</v>
      </c>
      <c r="J28" s="18">
        <f t="shared" si="9"/>
        <v>0</v>
      </c>
      <c r="K28" s="18">
        <f t="shared" si="9"/>
        <v>0</v>
      </c>
      <c r="L28" s="18">
        <f t="shared" si="9"/>
        <v>3513030.545046139</v>
      </c>
    </row>
    <row r="29" spans="2:13" x14ac:dyDescent="0.25">
      <c r="B29" t="s">
        <v>163</v>
      </c>
      <c r="C29" s="111">
        <f>1-C28</f>
        <v>0.19999999999999996</v>
      </c>
      <c r="F29" s="18">
        <f>F$25*$C29</f>
        <v>0</v>
      </c>
      <c r="G29" s="18">
        <f t="shared" si="9"/>
        <v>0</v>
      </c>
      <c r="H29" s="18">
        <f t="shared" si="9"/>
        <v>0</v>
      </c>
      <c r="I29" s="18">
        <f t="shared" si="9"/>
        <v>0</v>
      </c>
      <c r="J29" s="18">
        <f t="shared" si="9"/>
        <v>0</v>
      </c>
      <c r="K29" s="18">
        <f t="shared" si="9"/>
        <v>0</v>
      </c>
      <c r="L29" s="18">
        <f t="shared" si="9"/>
        <v>878257.63626153453</v>
      </c>
    </row>
    <row r="32" spans="2:13" x14ac:dyDescent="0.25">
      <c r="B32" s="23" t="s">
        <v>165</v>
      </c>
    </row>
    <row r="33" spans="2:18" x14ac:dyDescent="0.25">
      <c r="B33" t="s">
        <v>166</v>
      </c>
      <c r="F33" s="18">
        <f>F$11</f>
        <v>-8296139.8923616856</v>
      </c>
      <c r="G33" s="18">
        <f t="shared" ref="G33:L33" si="10">G$11</f>
        <v>0</v>
      </c>
      <c r="H33" s="18">
        <f t="shared" si="10"/>
        <v>0</v>
      </c>
      <c r="I33" s="18">
        <f t="shared" si="10"/>
        <v>0</v>
      </c>
      <c r="J33" s="18">
        <f t="shared" si="10"/>
        <v>0</v>
      </c>
      <c r="K33" s="18">
        <f t="shared" si="10"/>
        <v>0</v>
      </c>
      <c r="L33" s="18">
        <f t="shared" si="10"/>
        <v>0</v>
      </c>
    </row>
    <row r="34" spans="2:18" x14ac:dyDescent="0.25">
      <c r="B34" t="s">
        <v>167</v>
      </c>
      <c r="F34" s="18">
        <f>F$22</f>
        <v>0</v>
      </c>
      <c r="G34" s="18">
        <f t="shared" ref="G34:L34" si="11">G$22</f>
        <v>0</v>
      </c>
      <c r="H34" s="18">
        <f t="shared" si="11"/>
        <v>2987068.1199230575</v>
      </c>
      <c r="I34" s="18">
        <f t="shared" si="11"/>
        <v>697866.82610295014</v>
      </c>
      <c r="J34" s="18">
        <f t="shared" si="11"/>
        <v>384345.07415735215</v>
      </c>
      <c r="K34" s="18">
        <f t="shared" si="11"/>
        <v>427919.92253678793</v>
      </c>
      <c r="L34" s="18">
        <f t="shared" si="11"/>
        <v>8459121.2494089231</v>
      </c>
    </row>
    <row r="35" spans="2:18" x14ac:dyDescent="0.25">
      <c r="B35" s="19" t="s">
        <v>168</v>
      </c>
      <c r="C35" s="19"/>
      <c r="D35" s="19"/>
      <c r="E35" s="19"/>
      <c r="F35" s="38">
        <f>F$28</f>
        <v>0</v>
      </c>
      <c r="G35" s="38">
        <f t="shared" ref="G35:L35" si="12">G$28</f>
        <v>0</v>
      </c>
      <c r="H35" s="38">
        <f t="shared" si="12"/>
        <v>0</v>
      </c>
      <c r="I35" s="38">
        <f t="shared" si="12"/>
        <v>0</v>
      </c>
      <c r="J35" s="38">
        <f t="shared" si="12"/>
        <v>0</v>
      </c>
      <c r="K35" s="38">
        <f t="shared" si="12"/>
        <v>0</v>
      </c>
      <c r="L35" s="38">
        <f t="shared" si="12"/>
        <v>3513030.545046139</v>
      </c>
    </row>
    <row r="36" spans="2:18" x14ac:dyDescent="0.25">
      <c r="B36" t="s">
        <v>165</v>
      </c>
      <c r="F36" s="18">
        <f>SUM(F33:F35)</f>
        <v>-8296139.8923616856</v>
      </c>
      <c r="G36" s="18">
        <f t="shared" ref="G36:L36" si="13">SUM(G33:G35)</f>
        <v>0</v>
      </c>
      <c r="H36" s="18">
        <f t="shared" si="13"/>
        <v>2987068.1199230575</v>
      </c>
      <c r="I36" s="18">
        <f t="shared" si="13"/>
        <v>697866.82610295014</v>
      </c>
      <c r="J36" s="18">
        <f t="shared" si="13"/>
        <v>384345.07415735215</v>
      </c>
      <c r="K36" s="18">
        <f t="shared" si="13"/>
        <v>427919.92253678793</v>
      </c>
      <c r="L36" s="18">
        <f t="shared" si="13"/>
        <v>11972151.794455063</v>
      </c>
    </row>
    <row r="37" spans="2:18" x14ac:dyDescent="0.25">
      <c r="B37" t="s">
        <v>64</v>
      </c>
      <c r="C37" s="17">
        <f>IRR(F36:L36)</f>
        <v>0.15088228510562129</v>
      </c>
    </row>
    <row r="40" spans="2:18" x14ac:dyDescent="0.25">
      <c r="B40" s="23" t="s">
        <v>172</v>
      </c>
    </row>
    <row r="41" spans="2:18" x14ac:dyDescent="0.25">
      <c r="B41" t="s">
        <v>169</v>
      </c>
      <c r="D41" s="17">
        <f>IRR(F41:L41)</f>
        <v>0.16181542268474169</v>
      </c>
      <c r="F41" s="18">
        <f t="shared" ref="F41:L41" si="14">F$10+F$14</f>
        <v>-672659.99127256905</v>
      </c>
      <c r="G41" s="18">
        <f t="shared" si="14"/>
        <v>0</v>
      </c>
      <c r="H41" s="18">
        <f t="shared" si="14"/>
        <v>242194.71242619382</v>
      </c>
      <c r="I41" s="18">
        <f t="shared" si="14"/>
        <v>56583.79671105001</v>
      </c>
      <c r="J41" s="18">
        <f t="shared" si="14"/>
        <v>31163.114120866387</v>
      </c>
      <c r="K41" s="18">
        <f t="shared" si="14"/>
        <v>34696.209935415231</v>
      </c>
      <c r="L41" s="18">
        <f t="shared" si="14"/>
        <v>1041925.0889770212</v>
      </c>
    </row>
    <row r="42" spans="2:18" x14ac:dyDescent="0.25">
      <c r="B42" s="19" t="s">
        <v>170</v>
      </c>
      <c r="C42" s="19"/>
      <c r="D42" s="19"/>
      <c r="E42" s="19"/>
      <c r="F42" s="38">
        <f>F$29</f>
        <v>0</v>
      </c>
      <c r="G42" s="38">
        <f t="shared" ref="G42:L42" si="15">G$29</f>
        <v>0</v>
      </c>
      <c r="H42" s="38">
        <f t="shared" si="15"/>
        <v>0</v>
      </c>
      <c r="I42" s="38">
        <f t="shared" si="15"/>
        <v>0</v>
      </c>
      <c r="J42" s="38">
        <f t="shared" si="15"/>
        <v>0</v>
      </c>
      <c r="K42" s="38">
        <f t="shared" si="15"/>
        <v>0</v>
      </c>
      <c r="L42" s="38">
        <f t="shared" si="15"/>
        <v>878257.63626153453</v>
      </c>
      <c r="M42" s="28"/>
      <c r="N42" s="28"/>
      <c r="O42" s="28"/>
      <c r="P42" s="28"/>
      <c r="Q42" s="28"/>
      <c r="R42" s="28"/>
    </row>
    <row r="43" spans="2:18" x14ac:dyDescent="0.25">
      <c r="B43" t="s">
        <v>171</v>
      </c>
      <c r="D43" s="18">
        <f>SUM(F43:L43)</f>
        <v>1612160.5671595121</v>
      </c>
      <c r="F43" s="18">
        <f t="shared" ref="F43:L43" si="16">SUM(F41:F42)</f>
        <v>-672659.99127256905</v>
      </c>
      <c r="G43" s="18">
        <f t="shared" si="16"/>
        <v>0</v>
      </c>
      <c r="H43" s="18">
        <f t="shared" si="16"/>
        <v>242194.71242619382</v>
      </c>
      <c r="I43" s="18">
        <f t="shared" si="16"/>
        <v>56583.79671105001</v>
      </c>
      <c r="J43" s="18">
        <f t="shared" si="16"/>
        <v>31163.114120866387</v>
      </c>
      <c r="K43" s="18">
        <f t="shared" si="16"/>
        <v>34696.209935415231</v>
      </c>
      <c r="L43" s="18">
        <f t="shared" si="16"/>
        <v>1920182.7252385556</v>
      </c>
    </row>
    <row r="44" spans="2:18" x14ac:dyDescent="0.25">
      <c r="B44" t="s">
        <v>64</v>
      </c>
      <c r="C44" s="17">
        <f>IRR(F43:L43)</f>
        <v>0.26428092299737438</v>
      </c>
    </row>
    <row r="46" spans="2:18" x14ac:dyDescent="0.25">
      <c r="B46" t="s">
        <v>24</v>
      </c>
      <c r="F46" s="9">
        <f>'Cash Flow'!F$32</f>
        <v>539079.94249166665</v>
      </c>
      <c r="G46" s="9">
        <f>'Cash Flow'!G$32</f>
        <v>767333.33333333326</v>
      </c>
      <c r="H46" s="9">
        <f>'Cash Flow'!H$32</f>
        <v>0</v>
      </c>
      <c r="I46" s="9">
        <f>'Cash Flow'!I$32</f>
        <v>0</v>
      </c>
      <c r="J46" s="9">
        <f>'Cash Flow'!J$32</f>
        <v>0</v>
      </c>
      <c r="K46" s="9">
        <f>'Cash Flow'!K$32</f>
        <v>0</v>
      </c>
      <c r="L46" s="9">
        <f>'Cash Flow'!L$32</f>
        <v>0</v>
      </c>
    </row>
    <row r="50" spans="3:12" x14ac:dyDescent="0.25">
      <c r="C50" s="111"/>
      <c r="F50" s="28"/>
      <c r="G50" s="28"/>
      <c r="H50" s="28"/>
      <c r="I50" s="28"/>
      <c r="J50" s="28"/>
      <c r="K50" s="28"/>
      <c r="L50" s="28"/>
    </row>
    <row r="51" spans="3:12" x14ac:dyDescent="0.25">
      <c r="C51" s="111"/>
      <c r="F51" s="28"/>
      <c r="G51" s="28"/>
      <c r="H51" s="28"/>
      <c r="I51" s="28"/>
      <c r="J51" s="28"/>
      <c r="K51" s="28"/>
      <c r="L51" s="28"/>
    </row>
    <row r="52" spans="3:12" x14ac:dyDescent="0.25">
      <c r="D52" s="17"/>
      <c r="F52" s="28"/>
      <c r="G52" s="28"/>
      <c r="H52" s="28"/>
      <c r="I52" s="28"/>
      <c r="J52" s="28"/>
      <c r="K52" s="28"/>
      <c r="L52" s="28"/>
    </row>
    <row r="55" spans="3:12" x14ac:dyDescent="0.25">
      <c r="C55" s="111"/>
      <c r="F55" s="28"/>
      <c r="G55" s="28"/>
      <c r="H55" s="28"/>
      <c r="I55" s="28"/>
      <c r="J55" s="28"/>
      <c r="K55" s="28"/>
      <c r="L55" s="28"/>
    </row>
    <row r="56" spans="3:12" x14ac:dyDescent="0.25">
      <c r="C56" s="111"/>
      <c r="F56" s="28"/>
      <c r="G56" s="28"/>
      <c r="H56" s="28"/>
      <c r="I56" s="28"/>
      <c r="J56" s="28"/>
      <c r="K56" s="28"/>
      <c r="L56" s="28"/>
    </row>
    <row r="57" spans="3:12" x14ac:dyDescent="0.25">
      <c r="C57" s="111"/>
      <c r="F57" s="28"/>
      <c r="G57" s="28"/>
      <c r="H57" s="28"/>
      <c r="I57" s="28"/>
      <c r="J57" s="28"/>
      <c r="K57" s="28"/>
      <c r="L57" s="28"/>
    </row>
    <row r="58" spans="3:12" x14ac:dyDescent="0.25">
      <c r="D58" s="17"/>
      <c r="F58" s="28"/>
      <c r="G58" s="28"/>
      <c r="H58" s="28"/>
      <c r="I58" s="28"/>
      <c r="J58" s="28"/>
      <c r="K58" s="28"/>
      <c r="L58" s="2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18B1-E1A3-4A9A-AE54-2CBACCEF3384}">
  <dimension ref="A1:R72"/>
  <sheetViews>
    <sheetView zoomScale="80" zoomScaleNormal="80" workbookViewId="0">
      <pane ySplit="7" topLeftCell="A47" activePane="bottomLeft" state="frozen"/>
      <selection pane="bottomLeft" activeCell="C11" sqref="C11"/>
    </sheetView>
  </sheetViews>
  <sheetFormatPr defaultRowHeight="15" x14ac:dyDescent="0.25"/>
  <cols>
    <col min="2" max="2" width="16.42578125" bestFit="1" customWidth="1"/>
    <col min="4" max="10" width="12.28515625" customWidth="1"/>
    <col min="11" max="12" width="13" bestFit="1" customWidth="1"/>
    <col min="13" max="13" width="11.28515625" bestFit="1" customWidth="1"/>
  </cols>
  <sheetData>
    <row r="1" spans="1:12" x14ac:dyDescent="0.25">
      <c r="A1" s="86" t="str">
        <f>'Cash Flow'!$A$1</f>
        <v>Final Class Model</v>
      </c>
    </row>
    <row r="2" spans="1:12" x14ac:dyDescent="0.25">
      <c r="A2" s="23" t="s">
        <v>151</v>
      </c>
    </row>
    <row r="6" spans="1:12" x14ac:dyDescent="0.25">
      <c r="B6" s="1" t="s">
        <v>144</v>
      </c>
      <c r="C6" s="87"/>
      <c r="D6" s="87"/>
      <c r="E6" s="1"/>
      <c r="F6" s="1">
        <v>1</v>
      </c>
      <c r="G6" s="1">
        <f>F6+1</f>
        <v>2</v>
      </c>
      <c r="H6" s="1">
        <f t="shared" ref="H6:L6" si="0">G6+1</f>
        <v>3</v>
      </c>
      <c r="I6" s="1">
        <f t="shared" si="0"/>
        <v>4</v>
      </c>
      <c r="J6" s="1">
        <f t="shared" si="0"/>
        <v>5</v>
      </c>
      <c r="K6" s="1">
        <f t="shared" si="0"/>
        <v>6</v>
      </c>
      <c r="L6" s="1">
        <f t="shared" si="0"/>
        <v>7</v>
      </c>
    </row>
    <row r="7" spans="1:12" x14ac:dyDescent="0.25">
      <c r="B7" s="102" t="s">
        <v>147</v>
      </c>
      <c r="C7" s="103"/>
      <c r="D7" s="103"/>
      <c r="E7" s="104"/>
      <c r="F7" s="104"/>
      <c r="G7" s="104"/>
      <c r="H7" s="102">
        <v>1</v>
      </c>
      <c r="I7" s="102">
        <v>2</v>
      </c>
      <c r="J7" s="102">
        <v>3</v>
      </c>
      <c r="K7" s="102">
        <v>4</v>
      </c>
      <c r="L7" s="102">
        <v>5</v>
      </c>
    </row>
    <row r="9" spans="1:12" x14ac:dyDescent="0.25">
      <c r="B9" s="23" t="s">
        <v>155</v>
      </c>
      <c r="C9" s="23"/>
      <c r="D9" s="23"/>
      <c r="E9" s="23"/>
      <c r="F9" s="24">
        <f>'Cash Flow'!F59</f>
        <v>-8968799.8836342543</v>
      </c>
      <c r="G9" s="24">
        <f>'Cash Flow'!G59</f>
        <v>0</v>
      </c>
      <c r="H9" s="24">
        <f>'Cash Flow'!H59</f>
        <v>0</v>
      </c>
      <c r="I9" s="24">
        <f>'Cash Flow'!I59</f>
        <v>0</v>
      </c>
      <c r="J9" s="24">
        <f>'Cash Flow'!J59</f>
        <v>0</v>
      </c>
      <c r="K9" s="24">
        <f>'Cash Flow'!K59</f>
        <v>0</v>
      </c>
      <c r="L9" s="24">
        <f>'Cash Flow'!L59</f>
        <v>0</v>
      </c>
    </row>
    <row r="10" spans="1:12" x14ac:dyDescent="0.25">
      <c r="B10" t="s">
        <v>153</v>
      </c>
      <c r="C10" s="16">
        <v>0.1</v>
      </c>
      <c r="F10" s="9">
        <f>F$9*$C10</f>
        <v>-896879.98836342548</v>
      </c>
      <c r="G10" s="9">
        <f t="shared" ref="G10:L11" si="1">G$9*$C10</f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</row>
    <row r="11" spans="1:12" x14ac:dyDescent="0.25">
      <c r="B11" t="s">
        <v>154</v>
      </c>
      <c r="C11" s="17">
        <f>1-C10</f>
        <v>0.9</v>
      </c>
      <c r="F11" s="9">
        <f>F$9*$C11</f>
        <v>-8071919.8952708291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</row>
    <row r="14" spans="1:12" x14ac:dyDescent="0.25">
      <c r="B14" s="23" t="s">
        <v>156</v>
      </c>
      <c r="C14" s="23"/>
      <c r="D14" s="23"/>
      <c r="E14" s="23"/>
      <c r="F14" s="24">
        <f>'Cash Flow'!F$92-F$9</f>
        <v>0</v>
      </c>
      <c r="G14" s="24">
        <f>'Cash Flow'!G$92-G$9</f>
        <v>0</v>
      </c>
      <c r="H14" s="24">
        <f>'Cash Flow'!H$92-H$9</f>
        <v>3229262.832349251</v>
      </c>
      <c r="I14" s="24">
        <f>'Cash Flow'!I$92-I$9</f>
        <v>754450.62281400012</v>
      </c>
      <c r="J14" s="24">
        <f>'Cash Flow'!J$92-J$9</f>
        <v>415508.1882782185</v>
      </c>
      <c r="K14" s="24">
        <f>'Cash Flow'!K$92-K$9</f>
        <v>462616.13247220311</v>
      </c>
      <c r="L14" s="24">
        <f>'Cash Flow'!L$92-L$9</f>
        <v>13892334.519693617</v>
      </c>
    </row>
    <row r="15" spans="1:12" x14ac:dyDescent="0.25">
      <c r="B15" t="s">
        <v>153</v>
      </c>
      <c r="C15" s="111">
        <f>C10</f>
        <v>0.1</v>
      </c>
      <c r="F15" s="9">
        <f>F$14*$C15</f>
        <v>0</v>
      </c>
      <c r="G15" s="9">
        <f t="shared" ref="G15:L16" si="2">G$14*$C15</f>
        <v>0</v>
      </c>
      <c r="H15" s="9">
        <f t="shared" si="2"/>
        <v>322926.28323492513</v>
      </c>
      <c r="I15" s="9">
        <f t="shared" si="2"/>
        <v>75445.062281400009</v>
      </c>
      <c r="J15" s="9">
        <f t="shared" si="2"/>
        <v>41550.818827821851</v>
      </c>
      <c r="K15" s="9">
        <f t="shared" si="2"/>
        <v>46261.613247220317</v>
      </c>
      <c r="L15" s="9">
        <f t="shared" si="2"/>
        <v>1389233.4519693619</v>
      </c>
    </row>
    <row r="16" spans="1:12" x14ac:dyDescent="0.25">
      <c r="B16" t="s">
        <v>154</v>
      </c>
      <c r="C16" s="111">
        <f>C11</f>
        <v>0.9</v>
      </c>
      <c r="F16" s="9">
        <f>F$14*$C16</f>
        <v>0</v>
      </c>
      <c r="G16" s="9">
        <f t="shared" si="2"/>
        <v>0</v>
      </c>
      <c r="H16" s="9">
        <f t="shared" si="2"/>
        <v>2906336.549114326</v>
      </c>
      <c r="I16" s="9">
        <f t="shared" si="2"/>
        <v>679005.56053260015</v>
      </c>
      <c r="J16" s="9">
        <f t="shared" si="2"/>
        <v>373957.36945039668</v>
      </c>
      <c r="K16" s="9">
        <f t="shared" si="2"/>
        <v>416354.51922498283</v>
      </c>
      <c r="L16" s="9">
        <f t="shared" si="2"/>
        <v>12503101.067724256</v>
      </c>
    </row>
    <row r="19" spans="2:13" x14ac:dyDescent="0.25">
      <c r="B19" s="23" t="s">
        <v>173</v>
      </c>
      <c r="C19" s="17"/>
      <c r="F19" s="18"/>
      <c r="G19" s="18"/>
      <c r="H19" s="18"/>
      <c r="I19" s="18"/>
      <c r="J19" s="18"/>
      <c r="K19" s="18"/>
      <c r="L19" s="18"/>
    </row>
    <row r="20" spans="2:13" x14ac:dyDescent="0.25">
      <c r="B20" t="s">
        <v>158</v>
      </c>
      <c r="F20" s="9">
        <f>E24</f>
        <v>0</v>
      </c>
      <c r="G20" s="9">
        <f t="shared" ref="G20:L20" si="3">F24</f>
        <v>-8071919.8952708291</v>
      </c>
      <c r="H20" s="9">
        <f t="shared" si="3"/>
        <v>-8717673.4868924953</v>
      </c>
      <c r="I20" s="9">
        <f t="shared" si="3"/>
        <v>-6508750.8167295698</v>
      </c>
      <c r="J20" s="9">
        <f t="shared" si="3"/>
        <v>-6350445.3215353359</v>
      </c>
      <c r="K20" s="9">
        <f t="shared" si="3"/>
        <v>-6484523.5778077655</v>
      </c>
      <c r="L20" s="9">
        <f t="shared" si="3"/>
        <v>-6586930.9448074037</v>
      </c>
    </row>
    <row r="21" spans="2:13" x14ac:dyDescent="0.25">
      <c r="B21" t="s">
        <v>159</v>
      </c>
      <c r="F21" s="18">
        <f>F$11</f>
        <v>-8071919.8952708291</v>
      </c>
      <c r="G21" s="18">
        <f t="shared" ref="G21:L21" si="4">G$11</f>
        <v>0</v>
      </c>
      <c r="H21" s="18">
        <f t="shared" si="4"/>
        <v>0</v>
      </c>
      <c r="I21" s="18">
        <f t="shared" si="4"/>
        <v>0</v>
      </c>
      <c r="J21" s="18">
        <f t="shared" si="4"/>
        <v>0</v>
      </c>
      <c r="K21" s="18">
        <f t="shared" si="4"/>
        <v>0</v>
      </c>
      <c r="L21" s="18">
        <f t="shared" si="4"/>
        <v>0</v>
      </c>
    </row>
    <row r="22" spans="2:13" x14ac:dyDescent="0.25">
      <c r="B22" t="s">
        <v>160</v>
      </c>
      <c r="C22" s="110">
        <v>0.08</v>
      </c>
      <c r="F22" s="18">
        <f>SUM(F$20)*$C22</f>
        <v>0</v>
      </c>
      <c r="G22" s="18">
        <f t="shared" ref="G22:L22" si="5">SUM(G$20)*$C22</f>
        <v>-645753.59162166633</v>
      </c>
      <c r="H22" s="18">
        <f t="shared" si="5"/>
        <v>-697413.87895139959</v>
      </c>
      <c r="I22" s="18">
        <f t="shared" si="5"/>
        <v>-520700.06533836562</v>
      </c>
      <c r="J22" s="18">
        <f t="shared" si="5"/>
        <v>-508035.62572282687</v>
      </c>
      <c r="K22" s="18">
        <f t="shared" si="5"/>
        <v>-518761.88622462127</v>
      </c>
      <c r="L22" s="18">
        <f t="shared" si="5"/>
        <v>-526954.47558459232</v>
      </c>
      <c r="M22" s="18"/>
    </row>
    <row r="23" spans="2:13" x14ac:dyDescent="0.25">
      <c r="B23" t="s">
        <v>161</v>
      </c>
      <c r="F23" s="18">
        <f>MIN(F16,-SUM(F20:F22))</f>
        <v>0</v>
      </c>
      <c r="G23" s="18">
        <f t="shared" ref="G23:K23" si="6">MIN(G16,-SUM(G20:G22))</f>
        <v>0</v>
      </c>
      <c r="H23" s="18">
        <f t="shared" si="6"/>
        <v>2906336.549114326</v>
      </c>
      <c r="I23" s="18">
        <f t="shared" si="6"/>
        <v>679005.56053260015</v>
      </c>
      <c r="J23" s="18">
        <f t="shared" si="6"/>
        <v>373957.36945039668</v>
      </c>
      <c r="K23" s="18">
        <f t="shared" si="6"/>
        <v>416354.51922498283</v>
      </c>
      <c r="L23" s="18">
        <f>MIN(L16,-SUM(L20:L22))</f>
        <v>7113885.4203919964</v>
      </c>
    </row>
    <row r="24" spans="2:13" x14ac:dyDescent="0.25">
      <c r="B24" t="s">
        <v>79</v>
      </c>
      <c r="F24" s="18">
        <f>SUM(F20:F23)</f>
        <v>-8071919.8952708291</v>
      </c>
      <c r="G24" s="18">
        <f t="shared" ref="G24:L24" si="7">SUM(G20:G23)</f>
        <v>-8717673.4868924953</v>
      </c>
      <c r="H24" s="18">
        <f t="shared" si="7"/>
        <v>-6508750.8167295698</v>
      </c>
      <c r="I24" s="18">
        <f t="shared" si="7"/>
        <v>-6350445.3215353359</v>
      </c>
      <c r="J24" s="18">
        <f t="shared" si="7"/>
        <v>-6484523.5778077655</v>
      </c>
      <c r="K24" s="18">
        <f t="shared" si="7"/>
        <v>-6586930.9448074037</v>
      </c>
      <c r="L24" s="18">
        <f t="shared" si="7"/>
        <v>0</v>
      </c>
    </row>
    <row r="26" spans="2:13" x14ac:dyDescent="0.25">
      <c r="B26" s="21" t="s">
        <v>175</v>
      </c>
      <c r="C26" s="21"/>
      <c r="D26" s="21"/>
      <c r="E26" s="21"/>
      <c r="F26" s="114">
        <f>F16-F23</f>
        <v>0</v>
      </c>
      <c r="G26" s="114">
        <f t="shared" ref="G26:L26" si="8">G16-G23</f>
        <v>0</v>
      </c>
      <c r="H26" s="114">
        <f t="shared" si="8"/>
        <v>0</v>
      </c>
      <c r="I26" s="114">
        <f t="shared" si="8"/>
        <v>0</v>
      </c>
      <c r="J26" s="114">
        <f t="shared" si="8"/>
        <v>0</v>
      </c>
      <c r="K26" s="114">
        <f t="shared" si="8"/>
        <v>0</v>
      </c>
      <c r="L26" s="114">
        <f t="shared" si="8"/>
        <v>5389215.6473322595</v>
      </c>
    </row>
    <row r="27" spans="2:13" x14ac:dyDescent="0.25">
      <c r="D27" s="17"/>
      <c r="F27" s="18"/>
      <c r="G27" s="18"/>
      <c r="H27" s="18"/>
      <c r="I27" s="18"/>
      <c r="J27" s="18"/>
      <c r="K27" s="18"/>
      <c r="L27" s="18"/>
    </row>
    <row r="28" spans="2:13" x14ac:dyDescent="0.25">
      <c r="B28" s="23" t="s">
        <v>174</v>
      </c>
      <c r="D28" s="17"/>
      <c r="F28" s="18"/>
      <c r="G28" s="18"/>
      <c r="H28" s="18"/>
      <c r="I28" s="18"/>
      <c r="J28" s="18"/>
      <c r="K28" s="18"/>
      <c r="L28" s="18"/>
    </row>
    <row r="29" spans="2:13" x14ac:dyDescent="0.25">
      <c r="B29" t="s">
        <v>158</v>
      </c>
      <c r="D29" s="17"/>
      <c r="F29" s="9">
        <f>E33</f>
        <v>0</v>
      </c>
      <c r="G29" s="9">
        <f t="shared" ref="G29:L29" si="9">F33</f>
        <v>-8071919.8952708291</v>
      </c>
      <c r="H29" s="9">
        <f t="shared" si="9"/>
        <v>-9282707.8795614541</v>
      </c>
      <c r="I29" s="9">
        <f t="shared" si="9"/>
        <v>-7768777.5123813469</v>
      </c>
      <c r="J29" s="9">
        <f t="shared" si="9"/>
        <v>-8255088.5787059497</v>
      </c>
      <c r="K29" s="9">
        <f t="shared" si="9"/>
        <v>-9119394.4960614461</v>
      </c>
      <c r="L29" s="9">
        <f t="shared" si="9"/>
        <v>-10070949.15124568</v>
      </c>
    </row>
    <row r="30" spans="2:13" x14ac:dyDescent="0.25">
      <c r="B30" t="s">
        <v>159</v>
      </c>
      <c r="D30" s="17"/>
      <c r="F30" s="18">
        <f>F$11</f>
        <v>-8071919.8952708291</v>
      </c>
      <c r="G30" s="18">
        <f t="shared" ref="G30:L30" si="10">G$11</f>
        <v>0</v>
      </c>
      <c r="H30" s="18">
        <f t="shared" si="10"/>
        <v>0</v>
      </c>
      <c r="I30" s="18">
        <f t="shared" si="10"/>
        <v>0</v>
      </c>
      <c r="J30" s="18">
        <f t="shared" si="10"/>
        <v>0</v>
      </c>
      <c r="K30" s="18">
        <f t="shared" si="10"/>
        <v>0</v>
      </c>
      <c r="L30" s="18">
        <f t="shared" si="10"/>
        <v>0</v>
      </c>
    </row>
    <row r="31" spans="2:13" x14ac:dyDescent="0.25">
      <c r="B31" t="s">
        <v>160</v>
      </c>
      <c r="C31" s="110">
        <v>0.15</v>
      </c>
      <c r="F31" s="18">
        <f>SUM(F$29)*$C31</f>
        <v>0</v>
      </c>
      <c r="G31" s="18">
        <f t="shared" ref="G31:L31" si="11">SUM(G$29)*$C31</f>
        <v>-1210787.9842906243</v>
      </c>
      <c r="H31" s="18">
        <f t="shared" si="11"/>
        <v>-1392406.1819342182</v>
      </c>
      <c r="I31" s="18">
        <f t="shared" si="11"/>
        <v>-1165316.626857202</v>
      </c>
      <c r="J31" s="18">
        <f t="shared" si="11"/>
        <v>-1238263.2868058924</v>
      </c>
      <c r="K31" s="18">
        <f t="shared" si="11"/>
        <v>-1367909.174409217</v>
      </c>
      <c r="L31" s="18">
        <f t="shared" si="11"/>
        <v>-1510642.372686852</v>
      </c>
    </row>
    <row r="32" spans="2:13" x14ac:dyDescent="0.25">
      <c r="B32" t="s">
        <v>161</v>
      </c>
      <c r="D32" s="17"/>
      <c r="F32" s="18">
        <f>F$23+F$26*$C$36</f>
        <v>0</v>
      </c>
      <c r="G32" s="18">
        <f t="shared" ref="G32:K32" si="12">G$23+G$26*$C$36</f>
        <v>0</v>
      </c>
      <c r="H32" s="18">
        <f t="shared" si="12"/>
        <v>2906336.549114326</v>
      </c>
      <c r="I32" s="18">
        <f t="shared" si="12"/>
        <v>679005.56053260015</v>
      </c>
      <c r="J32" s="18">
        <f t="shared" si="12"/>
        <v>373957.36945039668</v>
      </c>
      <c r="K32" s="18">
        <f t="shared" si="12"/>
        <v>416354.51922498283</v>
      </c>
      <c r="L32" s="18">
        <f>MIN(L$23+L$26*$C$36,-SUM(L29:L31))</f>
        <v>11155797.155891191</v>
      </c>
    </row>
    <row r="33" spans="2:12" x14ac:dyDescent="0.25">
      <c r="B33" t="s">
        <v>79</v>
      </c>
      <c r="D33" s="17"/>
      <c r="F33" s="18">
        <f>SUM(F29:F32)</f>
        <v>-8071919.8952708291</v>
      </c>
      <c r="G33" s="18">
        <f t="shared" ref="G33" si="13">SUM(G29:G32)</f>
        <v>-9282707.8795614541</v>
      </c>
      <c r="H33" s="18">
        <f t="shared" ref="H33" si="14">SUM(H29:H32)</f>
        <v>-7768777.5123813469</v>
      </c>
      <c r="I33" s="18">
        <f t="shared" ref="I33" si="15">SUM(I29:I32)</f>
        <v>-8255088.5787059497</v>
      </c>
      <c r="J33" s="18">
        <f t="shared" ref="J33" si="16">SUM(J29:J32)</f>
        <v>-9119394.4960614461</v>
      </c>
      <c r="K33" s="18">
        <f t="shared" ref="K33" si="17">SUM(K29:K32)</f>
        <v>-10070949.15124568</v>
      </c>
      <c r="L33" s="18">
        <f t="shared" ref="L33" si="18">SUM(L29:L32)</f>
        <v>-425794.36804134026</v>
      </c>
    </row>
    <row r="34" spans="2:12" x14ac:dyDescent="0.25">
      <c r="C34" s="17"/>
      <c r="D34" s="17"/>
      <c r="F34" s="18"/>
      <c r="G34" s="18"/>
      <c r="H34" s="18"/>
      <c r="I34" s="18"/>
      <c r="J34" s="18"/>
      <c r="K34" s="18"/>
      <c r="L34" s="18"/>
    </row>
    <row r="35" spans="2:12" s="74" customFormat="1" x14ac:dyDescent="0.25">
      <c r="B35" s="74" t="s">
        <v>176</v>
      </c>
      <c r="F35" s="112">
        <f>F$32-F$23</f>
        <v>0</v>
      </c>
      <c r="G35" s="112">
        <f t="shared" ref="G35:L35" si="19">G$32-G$23</f>
        <v>0</v>
      </c>
      <c r="H35" s="112">
        <f t="shared" si="19"/>
        <v>0</v>
      </c>
      <c r="I35" s="112">
        <f t="shared" si="19"/>
        <v>0</v>
      </c>
      <c r="J35" s="112">
        <f t="shared" si="19"/>
        <v>0</v>
      </c>
      <c r="K35" s="112">
        <f t="shared" si="19"/>
        <v>0</v>
      </c>
      <c r="L35" s="112">
        <f t="shared" si="19"/>
        <v>4041911.7354991948</v>
      </c>
    </row>
    <row r="36" spans="2:12" s="74" customFormat="1" x14ac:dyDescent="0.25">
      <c r="B36" s="74" t="s">
        <v>154</v>
      </c>
      <c r="C36" s="110">
        <v>0.75</v>
      </c>
      <c r="F36" s="112">
        <f>F$35*$C36</f>
        <v>0</v>
      </c>
      <c r="G36" s="112">
        <f t="shared" ref="G36:L37" si="20">G$35*$C36</f>
        <v>0</v>
      </c>
      <c r="H36" s="112">
        <f t="shared" si="20"/>
        <v>0</v>
      </c>
      <c r="I36" s="112">
        <f t="shared" si="20"/>
        <v>0</v>
      </c>
      <c r="J36" s="112">
        <f t="shared" si="20"/>
        <v>0</v>
      </c>
      <c r="K36" s="112">
        <f t="shared" si="20"/>
        <v>0</v>
      </c>
      <c r="L36" s="112">
        <f t="shared" si="20"/>
        <v>3031433.8016243959</v>
      </c>
    </row>
    <row r="37" spans="2:12" s="74" customFormat="1" x14ac:dyDescent="0.25">
      <c r="B37" s="74" t="s">
        <v>163</v>
      </c>
      <c r="C37" s="113">
        <f>1-C36</f>
        <v>0.25</v>
      </c>
      <c r="F37" s="112">
        <f>F$35*$C37</f>
        <v>0</v>
      </c>
      <c r="G37" s="112">
        <f t="shared" si="20"/>
        <v>0</v>
      </c>
      <c r="H37" s="112">
        <f t="shared" si="20"/>
        <v>0</v>
      </c>
      <c r="I37" s="112">
        <f t="shared" si="20"/>
        <v>0</v>
      </c>
      <c r="J37" s="112">
        <f t="shared" si="20"/>
        <v>0</v>
      </c>
      <c r="K37" s="112">
        <f t="shared" si="20"/>
        <v>0</v>
      </c>
      <c r="L37" s="112">
        <f t="shared" si="20"/>
        <v>1010477.9338747987</v>
      </c>
    </row>
    <row r="38" spans="2:12" s="74" customFormat="1" x14ac:dyDescent="0.25"/>
    <row r="39" spans="2:12" s="74" customFormat="1" x14ac:dyDescent="0.25">
      <c r="B39" s="74" t="s">
        <v>177</v>
      </c>
      <c r="F39" s="112">
        <f>F$16-F$32</f>
        <v>0</v>
      </c>
      <c r="G39" s="112">
        <f t="shared" ref="G39:L39" si="21">G$16-G$32</f>
        <v>0</v>
      </c>
      <c r="H39" s="112">
        <f t="shared" si="21"/>
        <v>0</v>
      </c>
      <c r="I39" s="112">
        <f t="shared" si="21"/>
        <v>0</v>
      </c>
      <c r="J39" s="112">
        <f t="shared" si="21"/>
        <v>0</v>
      </c>
      <c r="K39" s="112">
        <f t="shared" si="21"/>
        <v>0</v>
      </c>
      <c r="L39" s="112">
        <f t="shared" si="21"/>
        <v>1347303.9118330646</v>
      </c>
    </row>
    <row r="40" spans="2:12" s="74" customFormat="1" x14ac:dyDescent="0.25">
      <c r="B40" s="74" t="s">
        <v>154</v>
      </c>
      <c r="C40" s="110">
        <v>0.5</v>
      </c>
      <c r="F40" s="112">
        <f>F$39*$C40</f>
        <v>0</v>
      </c>
      <c r="G40" s="112">
        <f t="shared" ref="G40:L41" si="22">G$39*$C40</f>
        <v>0</v>
      </c>
      <c r="H40" s="112">
        <f t="shared" si="22"/>
        <v>0</v>
      </c>
      <c r="I40" s="112">
        <f t="shared" si="22"/>
        <v>0</v>
      </c>
      <c r="J40" s="112">
        <f t="shared" si="22"/>
        <v>0</v>
      </c>
      <c r="K40" s="112">
        <f t="shared" si="22"/>
        <v>0</v>
      </c>
      <c r="L40" s="112">
        <f t="shared" si="22"/>
        <v>673651.95591653232</v>
      </c>
    </row>
    <row r="41" spans="2:12" s="74" customFormat="1" x14ac:dyDescent="0.25">
      <c r="B41" s="74" t="s">
        <v>163</v>
      </c>
      <c r="C41" s="113">
        <f>1-C40</f>
        <v>0.5</v>
      </c>
      <c r="F41" s="112">
        <f>F$39*$C41</f>
        <v>0</v>
      </c>
      <c r="G41" s="112">
        <f t="shared" si="22"/>
        <v>0</v>
      </c>
      <c r="H41" s="112">
        <f t="shared" si="22"/>
        <v>0</v>
      </c>
      <c r="I41" s="112">
        <f t="shared" si="22"/>
        <v>0</v>
      </c>
      <c r="J41" s="112">
        <f t="shared" si="22"/>
        <v>0</v>
      </c>
      <c r="K41" s="112">
        <f t="shared" si="22"/>
        <v>0</v>
      </c>
      <c r="L41" s="112">
        <f t="shared" si="22"/>
        <v>673651.95591653232</v>
      </c>
    </row>
    <row r="42" spans="2:12" s="74" customFormat="1" x14ac:dyDescent="0.25"/>
    <row r="43" spans="2:12" s="74" customFormat="1" x14ac:dyDescent="0.25"/>
    <row r="44" spans="2:12" s="74" customFormat="1" x14ac:dyDescent="0.25">
      <c r="B44" s="23" t="s">
        <v>165</v>
      </c>
    </row>
    <row r="45" spans="2:12" s="74" customFormat="1" x14ac:dyDescent="0.25">
      <c r="B45" s="74" t="s">
        <v>166</v>
      </c>
      <c r="F45" s="112">
        <f>F$11</f>
        <v>-8071919.8952708291</v>
      </c>
      <c r="G45" s="112">
        <f t="shared" ref="G45:L45" si="23">G$11</f>
        <v>0</v>
      </c>
      <c r="H45" s="112">
        <f t="shared" si="23"/>
        <v>0</v>
      </c>
      <c r="I45" s="112">
        <f t="shared" si="23"/>
        <v>0</v>
      </c>
      <c r="J45" s="112">
        <f t="shared" si="23"/>
        <v>0</v>
      </c>
      <c r="K45" s="112">
        <f t="shared" si="23"/>
        <v>0</v>
      </c>
      <c r="L45" s="112">
        <f t="shared" si="23"/>
        <v>0</v>
      </c>
    </row>
    <row r="46" spans="2:12" x14ac:dyDescent="0.25">
      <c r="B46" t="s">
        <v>167</v>
      </c>
      <c r="F46" s="18">
        <f>F$23</f>
        <v>0</v>
      </c>
      <c r="G46" s="18">
        <f t="shared" ref="G46:L46" si="24">G$23</f>
        <v>0</v>
      </c>
      <c r="H46" s="18">
        <f t="shared" si="24"/>
        <v>2906336.549114326</v>
      </c>
      <c r="I46" s="18">
        <f t="shared" si="24"/>
        <v>679005.56053260015</v>
      </c>
      <c r="J46" s="18">
        <f t="shared" si="24"/>
        <v>373957.36945039668</v>
      </c>
      <c r="K46" s="18">
        <f t="shared" si="24"/>
        <v>416354.51922498283</v>
      </c>
      <c r="L46" s="18">
        <f t="shared" si="24"/>
        <v>7113885.4203919964</v>
      </c>
    </row>
    <row r="47" spans="2:12" x14ac:dyDescent="0.25">
      <c r="B47" t="s">
        <v>168</v>
      </c>
      <c r="F47" s="18">
        <f>F$36</f>
        <v>0</v>
      </c>
      <c r="G47" s="18">
        <f t="shared" ref="G47:L47" si="25">G$36</f>
        <v>0</v>
      </c>
      <c r="H47" s="18">
        <f t="shared" si="25"/>
        <v>0</v>
      </c>
      <c r="I47" s="18">
        <f t="shared" si="25"/>
        <v>0</v>
      </c>
      <c r="J47" s="18">
        <f t="shared" si="25"/>
        <v>0</v>
      </c>
      <c r="K47" s="18">
        <f t="shared" si="25"/>
        <v>0</v>
      </c>
      <c r="L47" s="18">
        <f t="shared" si="25"/>
        <v>3031433.8016243959</v>
      </c>
    </row>
    <row r="48" spans="2:12" x14ac:dyDescent="0.25">
      <c r="B48" s="19" t="s">
        <v>178</v>
      </c>
      <c r="C48" s="19"/>
      <c r="D48" s="19"/>
      <c r="E48" s="19"/>
      <c r="F48" s="38">
        <f>F$40</f>
        <v>0</v>
      </c>
      <c r="G48" s="38">
        <f t="shared" ref="G48:L48" si="26">G$40</f>
        <v>0</v>
      </c>
      <c r="H48" s="38">
        <f t="shared" si="26"/>
        <v>0</v>
      </c>
      <c r="I48" s="38">
        <f t="shared" si="26"/>
        <v>0</v>
      </c>
      <c r="J48" s="38">
        <f t="shared" si="26"/>
        <v>0</v>
      </c>
      <c r="K48" s="38">
        <f t="shared" si="26"/>
        <v>0</v>
      </c>
      <c r="L48" s="38">
        <f t="shared" si="26"/>
        <v>673651.95591653232</v>
      </c>
    </row>
    <row r="49" spans="2:18" x14ac:dyDescent="0.25">
      <c r="B49" t="s">
        <v>165</v>
      </c>
      <c r="F49" s="18">
        <f t="shared" ref="F49:L49" si="27">SUM(F45:F48)</f>
        <v>-8071919.8952708291</v>
      </c>
      <c r="G49" s="18">
        <f t="shared" si="27"/>
        <v>0</v>
      </c>
      <c r="H49" s="18">
        <f t="shared" si="27"/>
        <v>2906336.549114326</v>
      </c>
      <c r="I49" s="18">
        <f t="shared" si="27"/>
        <v>679005.56053260015</v>
      </c>
      <c r="J49" s="18">
        <f t="shared" si="27"/>
        <v>373957.36945039668</v>
      </c>
      <c r="K49" s="18">
        <f t="shared" si="27"/>
        <v>416354.51922498283</v>
      </c>
      <c r="L49" s="18">
        <f t="shared" si="27"/>
        <v>10818971.177932926</v>
      </c>
    </row>
    <row r="50" spans="2:18" x14ac:dyDescent="0.25">
      <c r="B50" t="s">
        <v>64</v>
      </c>
      <c r="C50" s="17">
        <f>IRR(F49:L49)</f>
        <v>0.13967566053841751</v>
      </c>
    </row>
    <row r="53" spans="2:18" x14ac:dyDescent="0.25">
      <c r="B53" s="23" t="s">
        <v>172</v>
      </c>
    </row>
    <row r="54" spans="2:18" x14ac:dyDescent="0.25">
      <c r="B54" t="s">
        <v>169</v>
      </c>
      <c r="D54" s="17">
        <f>IRR(F54:L54)</f>
        <v>0.16181542268474192</v>
      </c>
      <c r="F54" s="18">
        <f t="shared" ref="F54:L54" si="28">F$10+F$15</f>
        <v>-896879.98836342548</v>
      </c>
      <c r="G54" s="18">
        <f t="shared" si="28"/>
        <v>0</v>
      </c>
      <c r="H54" s="18">
        <f t="shared" si="28"/>
        <v>322926.28323492513</v>
      </c>
      <c r="I54" s="18">
        <f t="shared" si="28"/>
        <v>75445.062281400009</v>
      </c>
      <c r="J54" s="18">
        <f t="shared" si="28"/>
        <v>41550.818827821851</v>
      </c>
      <c r="K54" s="18">
        <f t="shared" si="28"/>
        <v>46261.613247220317</v>
      </c>
      <c r="L54" s="18">
        <f t="shared" si="28"/>
        <v>1389233.4519693619</v>
      </c>
    </row>
    <row r="55" spans="2:18" x14ac:dyDescent="0.25">
      <c r="B55" t="s">
        <v>179</v>
      </c>
      <c r="D55" s="17"/>
      <c r="F55" s="18">
        <f>F$37</f>
        <v>0</v>
      </c>
      <c r="G55" s="18">
        <f t="shared" ref="G55:L55" si="29">G$37</f>
        <v>0</v>
      </c>
      <c r="H55" s="18">
        <f t="shared" si="29"/>
        <v>0</v>
      </c>
      <c r="I55" s="18">
        <f t="shared" si="29"/>
        <v>0</v>
      </c>
      <c r="J55" s="18">
        <f t="shared" si="29"/>
        <v>0</v>
      </c>
      <c r="K55" s="18">
        <f t="shared" si="29"/>
        <v>0</v>
      </c>
      <c r="L55" s="18">
        <f t="shared" si="29"/>
        <v>1010477.9338747987</v>
      </c>
    </row>
    <row r="56" spans="2:18" x14ac:dyDescent="0.25">
      <c r="B56" s="19" t="s">
        <v>180</v>
      </c>
      <c r="C56" s="19"/>
      <c r="D56" s="19"/>
      <c r="E56" s="19"/>
      <c r="F56" s="38">
        <f>F$41</f>
        <v>0</v>
      </c>
      <c r="G56" s="38">
        <f t="shared" ref="G56:L56" si="30">G$41</f>
        <v>0</v>
      </c>
      <c r="H56" s="38">
        <f t="shared" si="30"/>
        <v>0</v>
      </c>
      <c r="I56" s="38">
        <f t="shared" si="30"/>
        <v>0</v>
      </c>
      <c r="J56" s="38">
        <f t="shared" si="30"/>
        <v>0</v>
      </c>
      <c r="K56" s="38">
        <f t="shared" si="30"/>
        <v>0</v>
      </c>
      <c r="L56" s="38">
        <f t="shared" si="30"/>
        <v>673651.95591653232</v>
      </c>
      <c r="M56" s="28"/>
      <c r="N56" s="28"/>
      <c r="O56" s="28"/>
      <c r="P56" s="28"/>
      <c r="Q56" s="28"/>
      <c r="R56" s="28"/>
    </row>
    <row r="57" spans="2:18" x14ac:dyDescent="0.25">
      <c r="B57" t="s">
        <v>171</v>
      </c>
      <c r="D57" s="18">
        <f>SUM(F57:L57)</f>
        <v>2662667.1309886351</v>
      </c>
      <c r="F57" s="18">
        <f t="shared" ref="F57:L57" si="31">SUM(F54:F56)</f>
        <v>-896879.98836342548</v>
      </c>
      <c r="G57" s="18">
        <f t="shared" si="31"/>
        <v>0</v>
      </c>
      <c r="H57" s="18">
        <f t="shared" si="31"/>
        <v>322926.28323492513</v>
      </c>
      <c r="I57" s="18">
        <f t="shared" si="31"/>
        <v>75445.062281400009</v>
      </c>
      <c r="J57" s="18">
        <f t="shared" si="31"/>
        <v>41550.818827821851</v>
      </c>
      <c r="K57" s="18">
        <f t="shared" si="31"/>
        <v>46261.613247220317</v>
      </c>
      <c r="L57" s="18">
        <f t="shared" si="31"/>
        <v>3073363.3417606931</v>
      </c>
    </row>
    <row r="58" spans="2:18" x14ac:dyDescent="0.25">
      <c r="B58" t="s">
        <v>64</v>
      </c>
      <c r="C58" s="17">
        <f>IRR(F57:L57)</f>
        <v>0.29774424635257213</v>
      </c>
    </row>
    <row r="60" spans="2:18" x14ac:dyDescent="0.25">
      <c r="B60" t="s">
        <v>24</v>
      </c>
      <c r="F60" s="9">
        <f>'Cash Flow'!F$32</f>
        <v>539079.94249166665</v>
      </c>
      <c r="G60" s="9">
        <f>'Cash Flow'!G$32</f>
        <v>767333.33333333326</v>
      </c>
      <c r="H60" s="9">
        <f>'Cash Flow'!H$32</f>
        <v>0</v>
      </c>
      <c r="I60" s="9">
        <f>'Cash Flow'!I$32</f>
        <v>0</v>
      </c>
      <c r="J60" s="9">
        <f>'Cash Flow'!J$32</f>
        <v>0</v>
      </c>
      <c r="K60" s="9">
        <f>'Cash Flow'!K$32</f>
        <v>0</v>
      </c>
      <c r="L60" s="9">
        <f>'Cash Flow'!L$32</f>
        <v>0</v>
      </c>
    </row>
    <row r="64" spans="2:18" x14ac:dyDescent="0.25">
      <c r="C64" s="111"/>
      <c r="F64" s="28"/>
      <c r="G64" s="28"/>
      <c r="H64" s="28"/>
      <c r="I64" s="28"/>
      <c r="J64" s="28"/>
      <c r="K64" s="28"/>
      <c r="L64" s="28"/>
    </row>
    <row r="65" spans="3:12" x14ac:dyDescent="0.25">
      <c r="C65" s="111"/>
      <c r="F65" s="28"/>
      <c r="G65" s="28"/>
      <c r="H65" s="28"/>
      <c r="I65" s="28"/>
      <c r="J65" s="28"/>
      <c r="K65" s="28"/>
      <c r="L65" s="28"/>
    </row>
    <row r="66" spans="3:12" x14ac:dyDescent="0.25">
      <c r="D66" s="17"/>
      <c r="F66" s="28"/>
      <c r="G66" s="28"/>
      <c r="H66" s="28"/>
      <c r="I66" s="28"/>
      <c r="J66" s="28"/>
      <c r="K66" s="28"/>
      <c r="L66" s="28"/>
    </row>
    <row r="69" spans="3:12" x14ac:dyDescent="0.25">
      <c r="C69" s="111"/>
      <c r="F69" s="28"/>
      <c r="G69" s="28"/>
      <c r="H69" s="28"/>
      <c r="I69" s="28"/>
      <c r="J69" s="28"/>
      <c r="K69" s="28"/>
      <c r="L69" s="28"/>
    </row>
    <row r="70" spans="3:12" x14ac:dyDescent="0.25">
      <c r="C70" s="111"/>
      <c r="F70" s="28"/>
      <c r="G70" s="28"/>
      <c r="H70" s="28"/>
      <c r="I70" s="28"/>
      <c r="J70" s="28"/>
      <c r="K70" s="28"/>
      <c r="L70" s="28"/>
    </row>
    <row r="71" spans="3:12" x14ac:dyDescent="0.25">
      <c r="C71" s="111"/>
      <c r="F71" s="28"/>
      <c r="G71" s="28"/>
      <c r="H71" s="28"/>
      <c r="I71" s="28"/>
      <c r="J71" s="28"/>
      <c r="K71" s="28"/>
      <c r="L71" s="28"/>
    </row>
    <row r="72" spans="3:12" x14ac:dyDescent="0.25">
      <c r="D72" s="17"/>
      <c r="F72" s="28"/>
      <c r="G72" s="28"/>
      <c r="H72" s="28"/>
      <c r="I72" s="28"/>
      <c r="J72" s="28"/>
      <c r="K72" s="28"/>
      <c r="L72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Development</vt:lpstr>
      <vt:lpstr>Operations</vt:lpstr>
      <vt:lpstr>Debt</vt:lpstr>
      <vt:lpstr>Waterfall (Single)</vt:lpstr>
      <vt:lpstr>Waterfall (Double)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Tony Trotter</cp:lastModifiedBy>
  <dcterms:created xsi:type="dcterms:W3CDTF">2021-05-23T18:32:56Z</dcterms:created>
  <dcterms:modified xsi:type="dcterms:W3CDTF">2021-09-04T01:32:27Z</dcterms:modified>
</cp:coreProperties>
</file>