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3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ony Trotter\Desktop\MSF-MRED\Capital Markets\"/>
    </mc:Choice>
  </mc:AlternateContent>
  <xr:revisionPtr revIDLastSave="0" documentId="8_{67B229B1-5E22-4678-9CBE-4C06984A764B}" xr6:coauthVersionLast="47" xr6:coauthVersionMax="47" xr10:uidLastSave="{00000000-0000-0000-0000-000000000000}"/>
  <bookViews>
    <workbookView xWindow="-120" yWindow="-120" windowWidth="20730" windowHeight="11160" activeTab="4" xr2:uid="{1B4F05E6-9C07-48AB-B969-0E0A9C5909BC}"/>
  </bookViews>
  <sheets>
    <sheet name="Sheet1" sheetId="1" r:id="rId1"/>
    <sheet name="Sheet2" sheetId="2" r:id="rId2"/>
    <sheet name="Sheet3" sheetId="3" r:id="rId3"/>
    <sheet name="Immunized Hedged Portfolio" sheetId="4" r:id="rId4"/>
    <sheet name="Test" sheetId="5" r:id="rId5"/>
    <sheet name="Performance" sheetId="6" r:id="rId6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5" i="6" l="1"/>
  <c r="D3" i="5"/>
  <c r="C9" i="5"/>
  <c r="D9" i="5"/>
  <c r="D4" i="5"/>
  <c r="F9" i="5"/>
  <c r="G9" i="5"/>
  <c r="D5" i="5"/>
  <c r="I9" i="5"/>
  <c r="J9" i="5"/>
  <c r="L3" i="5"/>
  <c r="C17" i="5"/>
  <c r="D17" i="5"/>
  <c r="C25" i="5"/>
  <c r="D25" i="5"/>
  <c r="H3" i="5"/>
  <c r="L4" i="5"/>
  <c r="F17" i="5"/>
  <c r="G17" i="5"/>
  <c r="F25" i="5"/>
  <c r="G25" i="5"/>
  <c r="H4" i="5"/>
  <c r="L5" i="5"/>
  <c r="I17" i="5"/>
  <c r="J17" i="5"/>
  <c r="I25" i="5"/>
  <c r="J25" i="5"/>
  <c r="H5" i="5"/>
  <c r="M3" i="5"/>
  <c r="J3" i="5"/>
  <c r="J4" i="5"/>
  <c r="J5" i="5"/>
  <c r="N3" i="5"/>
  <c r="O3" i="5"/>
  <c r="N8" i="5"/>
  <c r="N9" i="5"/>
  <c r="I13" i="5"/>
  <c r="F13" i="5"/>
  <c r="I12" i="5"/>
  <c r="C13" i="5"/>
  <c r="C12" i="5"/>
  <c r="F12" i="5"/>
  <c r="C20" i="5"/>
  <c r="C21" i="5"/>
  <c r="C28" i="5"/>
  <c r="C29" i="5"/>
  <c r="F20" i="5"/>
  <c r="F21" i="5"/>
  <c r="F28" i="5"/>
  <c r="F29" i="5"/>
  <c r="I20" i="5"/>
  <c r="I21" i="5"/>
  <c r="I28" i="5"/>
  <c r="I29" i="5"/>
  <c r="F6" i="6"/>
  <c r="N24" i="5"/>
  <c r="Q3" i="5"/>
  <c r="Q5" i="5"/>
  <c r="Q6" i="5"/>
  <c r="K6" i="6"/>
  <c r="G6" i="6"/>
  <c r="H6" i="6"/>
  <c r="I6" i="6"/>
  <c r="J6" i="6"/>
  <c r="F7" i="6"/>
  <c r="C11" i="5"/>
  <c r="F11" i="5"/>
  <c r="I11" i="5"/>
  <c r="Q4" i="5"/>
  <c r="I18" i="5"/>
  <c r="I10" i="5"/>
  <c r="I26" i="5"/>
  <c r="F10" i="5"/>
  <c r="C10" i="5"/>
  <c r="I30" i="5"/>
  <c r="F30" i="5"/>
  <c r="C30" i="5"/>
  <c r="I27" i="5"/>
  <c r="F27" i="5"/>
  <c r="C27" i="5"/>
  <c r="F26" i="5"/>
  <c r="C26" i="5"/>
  <c r="C22" i="5"/>
  <c r="C18" i="5"/>
  <c r="F22" i="5"/>
  <c r="F18" i="5"/>
  <c r="I22" i="5"/>
  <c r="N23" i="5"/>
  <c r="Q20" i="5"/>
  <c r="R20" i="5"/>
  <c r="S20" i="5"/>
  <c r="Q19" i="5"/>
  <c r="R19" i="5"/>
  <c r="S19" i="5"/>
  <c r="I19" i="5"/>
  <c r="F19" i="5"/>
  <c r="C19" i="5"/>
  <c r="Q18" i="5"/>
  <c r="R18" i="5"/>
  <c r="S18" i="5"/>
  <c r="Q17" i="5"/>
  <c r="R17" i="5"/>
  <c r="S17" i="5"/>
  <c r="Q16" i="5"/>
  <c r="R16" i="5"/>
  <c r="S16" i="5"/>
  <c r="Q15" i="5"/>
  <c r="R15" i="5"/>
  <c r="S15" i="5"/>
  <c r="Q14" i="5"/>
  <c r="R14" i="5"/>
  <c r="S14" i="5"/>
  <c r="Q13" i="5"/>
  <c r="R13" i="5"/>
  <c r="S13" i="5"/>
  <c r="Q12" i="5"/>
  <c r="R12" i="5"/>
  <c r="S12" i="5"/>
  <c r="Q11" i="5"/>
  <c r="R11" i="5"/>
  <c r="S11" i="5"/>
  <c r="Q10" i="5"/>
  <c r="R10" i="5"/>
  <c r="S10" i="5"/>
  <c r="Q9" i="5"/>
  <c r="R9" i="5"/>
  <c r="S9" i="5"/>
  <c r="L6" i="5"/>
  <c r="D9" i="4"/>
  <c r="N24" i="4"/>
  <c r="R9" i="4"/>
  <c r="R10" i="4"/>
  <c r="R11" i="4"/>
  <c r="R12" i="4"/>
  <c r="R13" i="4"/>
  <c r="R14" i="4"/>
  <c r="R15" i="4"/>
  <c r="R16" i="4"/>
  <c r="R18" i="4"/>
  <c r="R19" i="4"/>
  <c r="R20" i="4"/>
  <c r="R17" i="4"/>
  <c r="N23" i="4"/>
  <c r="S9" i="4"/>
  <c r="S10" i="4"/>
  <c r="S11" i="4"/>
  <c r="S12" i="4"/>
  <c r="S13" i="4"/>
  <c r="S14" i="4"/>
  <c r="S15" i="4"/>
  <c r="S16" i="4"/>
  <c r="S17" i="4"/>
  <c r="S18" i="4"/>
  <c r="S19" i="4"/>
  <c r="S20" i="4"/>
  <c r="Q9" i="4"/>
  <c r="Q10" i="4"/>
  <c r="Q11" i="4"/>
  <c r="Q12" i="4"/>
  <c r="Q13" i="4"/>
  <c r="Q14" i="4"/>
  <c r="Q15" i="4"/>
  <c r="Q16" i="4"/>
  <c r="Q18" i="4"/>
  <c r="Q19" i="4"/>
  <c r="Q20" i="4"/>
  <c r="Q17" i="4"/>
  <c r="N9" i="4"/>
  <c r="N8" i="4"/>
  <c r="O3" i="4"/>
  <c r="N3" i="4"/>
  <c r="M3" i="4"/>
  <c r="L6" i="4"/>
  <c r="L5" i="4"/>
  <c r="L4" i="4"/>
  <c r="L3" i="4"/>
  <c r="J5" i="4"/>
  <c r="J4" i="4"/>
  <c r="J3" i="4"/>
  <c r="H5" i="4"/>
  <c r="H4" i="4"/>
  <c r="H3" i="4"/>
  <c r="J25" i="4"/>
  <c r="J17" i="4"/>
  <c r="J9" i="4"/>
  <c r="I30" i="4"/>
  <c r="I29" i="4"/>
  <c r="I28" i="4"/>
  <c r="I27" i="4"/>
  <c r="I26" i="4"/>
  <c r="I25" i="4"/>
  <c r="I22" i="4"/>
  <c r="I21" i="4"/>
  <c r="I20" i="4"/>
  <c r="I19" i="4"/>
  <c r="I18" i="4"/>
  <c r="I17" i="4"/>
  <c r="I12" i="4"/>
  <c r="G25" i="4"/>
  <c r="G17" i="4"/>
  <c r="G9" i="4"/>
  <c r="D25" i="4"/>
  <c r="D17" i="4"/>
  <c r="C12" i="4"/>
  <c r="C8" i="1"/>
  <c r="F30" i="4"/>
  <c r="F29" i="4"/>
  <c r="F12" i="4"/>
  <c r="F28" i="4"/>
  <c r="F27" i="4"/>
  <c r="F26" i="4"/>
  <c r="F25" i="4"/>
  <c r="F22" i="4"/>
  <c r="F21" i="4"/>
  <c r="F20" i="4"/>
  <c r="F19" i="4"/>
  <c r="F18" i="4"/>
  <c r="F17" i="4"/>
  <c r="C27" i="4"/>
  <c r="C28" i="4"/>
  <c r="C29" i="4"/>
  <c r="C30" i="4"/>
  <c r="C26" i="4"/>
  <c r="C25" i="4"/>
  <c r="C19" i="4"/>
  <c r="C20" i="4"/>
  <c r="C21" i="4"/>
  <c r="C22" i="4"/>
  <c r="C18" i="4"/>
  <c r="C17" i="4"/>
  <c r="F5" i="2"/>
  <c r="F27" i="2"/>
  <c r="D12" i="2"/>
  <c r="F12" i="2"/>
  <c r="D20" i="2"/>
  <c r="F21" i="2"/>
  <c r="G8" i="2"/>
  <c r="P5" i="2"/>
  <c r="M9" i="3"/>
  <c r="L12" i="3"/>
  <c r="L10" i="3"/>
  <c r="L11" i="3"/>
  <c r="L9" i="3"/>
  <c r="K10" i="3"/>
  <c r="K11" i="3"/>
  <c r="H10" i="3"/>
  <c r="H11" i="3"/>
  <c r="J10" i="3"/>
  <c r="J11" i="3"/>
  <c r="J9" i="3"/>
  <c r="H9" i="3"/>
  <c r="Q9" i="1"/>
  <c r="P21" i="1"/>
  <c r="P13" i="1"/>
  <c r="P5" i="1"/>
  <c r="O9" i="1"/>
  <c r="L24" i="1"/>
  <c r="L16" i="1"/>
  <c r="L8" i="1"/>
  <c r="L21" i="1"/>
  <c r="N22" i="1"/>
  <c r="L13" i="1"/>
  <c r="N13" i="1"/>
  <c r="N6" i="1"/>
  <c r="K9" i="3"/>
  <c r="M8" i="2"/>
  <c r="I10" i="3"/>
  <c r="I11" i="3"/>
  <c r="I9" i="3"/>
  <c r="G10" i="3"/>
  <c r="G11" i="3"/>
  <c r="G9" i="3"/>
  <c r="F10" i="3"/>
  <c r="F11" i="3"/>
  <c r="E10" i="3"/>
  <c r="E11" i="3"/>
  <c r="E9" i="3"/>
  <c r="F9" i="3"/>
  <c r="C13" i="1"/>
  <c r="E13" i="1"/>
  <c r="C21" i="1"/>
  <c r="E22" i="1"/>
  <c r="D5" i="1"/>
  <c r="F9" i="1"/>
  <c r="D23" i="2"/>
  <c r="D15" i="2"/>
  <c r="D7" i="2"/>
  <c r="J22" i="2"/>
  <c r="J14" i="2"/>
  <c r="J23" i="2"/>
  <c r="J15" i="2"/>
  <c r="J7" i="2"/>
  <c r="J20" i="2"/>
  <c r="L21" i="2"/>
  <c r="J12" i="2"/>
  <c r="L12" i="2"/>
  <c r="L5" i="2"/>
  <c r="M4" i="1"/>
  <c r="C24" i="1"/>
  <c r="C16" i="1"/>
</calcChain>
</file>

<file path=xl/sharedStrings.xml><?xml version="1.0" encoding="utf-8"?>
<sst xmlns="http://schemas.openxmlformats.org/spreadsheetml/2006/main" count="255" uniqueCount="31">
  <si>
    <t>YTM</t>
  </si>
  <si>
    <t>years</t>
  </si>
  <si>
    <t>coupon</t>
  </si>
  <si>
    <t>FV</t>
  </si>
  <si>
    <t>semi</t>
  </si>
  <si>
    <t>c/2</t>
  </si>
  <si>
    <r>
      <t xml:space="preserve">-MD </t>
    </r>
    <r>
      <rPr>
        <sz val="11"/>
        <color theme="1"/>
        <rFont val="Calibri"/>
        <family val="2"/>
      </rPr>
      <t>≈</t>
    </r>
  </si>
  <si>
    <t>Portfolio Duration</t>
  </si>
  <si>
    <t>Bond</t>
  </si>
  <si>
    <t>Maturity</t>
  </si>
  <si>
    <t>Coupon</t>
  </si>
  <si>
    <t>Yield</t>
  </si>
  <si>
    <t>Face Value</t>
  </si>
  <si>
    <t>H</t>
  </si>
  <si>
    <t>I</t>
  </si>
  <si>
    <t>J</t>
  </si>
  <si>
    <t>w</t>
  </si>
  <si>
    <t xml:space="preserve">Yield </t>
  </si>
  <si>
    <t>A</t>
  </si>
  <si>
    <t>B</t>
  </si>
  <si>
    <t>C</t>
  </si>
  <si>
    <r>
      <t xml:space="preserve">Convexity </t>
    </r>
    <r>
      <rPr>
        <sz val="11"/>
        <color theme="1"/>
        <rFont val="Calibri"/>
        <family val="2"/>
      </rPr>
      <t>≈</t>
    </r>
  </si>
  <si>
    <t>W</t>
  </si>
  <si>
    <t>Portfolio MD</t>
  </si>
  <si>
    <t>Portfolio Convexity</t>
  </si>
  <si>
    <t>ΔB</t>
  </si>
  <si>
    <t>MV</t>
  </si>
  <si>
    <t>Δ Yield</t>
  </si>
  <si>
    <t>Δ Porfolio Value</t>
  </si>
  <si>
    <t>Δ 5-Yr Bond</t>
  </si>
  <si>
    <t>Δ Hedge Port.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</si>
</sst>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4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9">
    <xf numFmtId="0" fontId="0" fillId="0" borderId="0" xfId="0"/>
    <xf numFmtId="2" fontId="0" fillId="0" borderId="0" xfId="0" applyNumberFormat="1"/>
    <xf numFmtId="0" fontId="0" fillId="0" borderId="0" xfId="0" quotePrefix="1"/>
    <xf numFmtId="43" fontId="0" fillId="0" borderId="0" xfId="1" applyFont="1"/>
    <xf numFmtId="164" fontId="0" fillId="0" borderId="0" xfId="1" applyNumberFormat="1" applyFont="1"/>
    <xf numFmtId="0" fontId="0" fillId="0" borderId="0" xfId="0" quotePrefix="1" applyAlignment="1">
      <alignment horizontal="right"/>
    </xf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3" fontId="0" fillId="0" borderId="0" xfId="0" applyNumberFormat="1"/>
    <xf numFmtId="164" fontId="0" fillId="0" borderId="5" xfId="1" applyNumberFormat="1" applyFont="1" applyBorder="1" applyAlignment="1">
      <alignment horizontal="center"/>
    </xf>
    <xf numFmtId="164" fontId="0" fillId="0" borderId="8" xfId="1" applyNumberFormat="1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64" fontId="0" fillId="0" borderId="0" xfId="1" applyNumberFormat="1" applyFont="1" applyBorder="1" applyAlignment="1">
      <alignment horizontal="center"/>
    </xf>
    <xf numFmtId="164" fontId="0" fillId="0" borderId="0" xfId="0" applyNumberFormat="1"/>
    <xf numFmtId="0" fontId="2" fillId="0" borderId="0" xfId="0" applyFont="1"/>
    <xf numFmtId="0" fontId="3" fillId="0" borderId="9" xfId="0" applyFont="1" applyBorder="1"/>
    <xf numFmtId="0" fontId="3" fillId="0" borderId="10" xfId="0" applyFont="1" applyBorder="1"/>
    <xf numFmtId="0" fontId="3" fillId="0" borderId="11" xfId="0" applyFont="1" applyBorder="1"/>
    <xf numFmtId="10" fontId="0" fillId="0" borderId="4" xfId="0" applyNumberFormat="1" applyBorder="1"/>
    <xf numFmtId="10" fontId="0" fillId="0" borderId="6" xfId="0" applyNumberFormat="1" applyBorder="1"/>
    <xf numFmtId="43" fontId="0" fillId="0" borderId="5" xfId="0" applyNumberFormat="1" applyBorder="1"/>
    <xf numFmtId="43" fontId="0" fillId="0" borderId="7" xfId="0" applyNumberFormat="1" applyBorder="1"/>
    <xf numFmtId="43" fontId="0" fillId="0" borderId="8" xfId="0" applyNumberFormat="1" applyBorder="1"/>
    <xf numFmtId="10" fontId="0" fillId="0" borderId="1" xfId="0" applyNumberFormat="1" applyBorder="1"/>
    <xf numFmtId="43" fontId="0" fillId="0" borderId="2" xfId="0" applyNumberFormat="1" applyBorder="1"/>
    <xf numFmtId="43" fontId="0" fillId="0" borderId="3" xfId="0" applyNumberFormat="1" applyBorder="1"/>
    <xf numFmtId="10" fontId="0" fillId="0" borderId="0" xfId="0" applyNumberFormat="1"/>
    <xf numFmtId="10" fontId="0" fillId="0" borderId="0" xfId="2" applyNumberFormat="1" applyFont="1" applyAlignment="1">
      <alignment horizontal="center"/>
    </xf>
    <xf numFmtId="10" fontId="0" fillId="0" borderId="7" xfId="2" applyNumberFormat="1" applyFont="1" applyBorder="1" applyAlignment="1">
      <alignment horizontal="center"/>
    </xf>
    <xf numFmtId="8" fontId="0" fillId="0" borderId="0" xfId="0" applyNumberFormat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'Immunized Hedged Portfolio'!$Q$8</c:f>
              <c:strCache>
                <c:ptCount val="1"/>
                <c:pt idx="0">
                  <c:v>Δ Porfolio Value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'Immunized Hedged Portfolio'!$P$9:$P$20</c:f>
              <c:numCache>
                <c:formatCode>0.00%</c:formatCode>
                <c:ptCount val="12"/>
                <c:pt idx="0">
                  <c:v>-0.01</c:v>
                </c:pt>
                <c:pt idx="1">
                  <c:v>-8.0000000000000002E-3</c:v>
                </c:pt>
                <c:pt idx="2">
                  <c:v>-6.0000000000000001E-3</c:v>
                </c:pt>
                <c:pt idx="3">
                  <c:v>-4.0000000000000001E-3</c:v>
                </c:pt>
                <c:pt idx="4">
                  <c:v>-2E-3</c:v>
                </c:pt>
                <c:pt idx="5">
                  <c:v>0</c:v>
                </c:pt>
                <c:pt idx="6">
                  <c:v>2E-3</c:v>
                </c:pt>
                <c:pt idx="7">
                  <c:v>4.0000000000000001E-3</c:v>
                </c:pt>
                <c:pt idx="8">
                  <c:v>5.0000000000000001E-3</c:v>
                </c:pt>
                <c:pt idx="9">
                  <c:v>6.0000000000000001E-3</c:v>
                </c:pt>
                <c:pt idx="10">
                  <c:v>8.0000000000000002E-3</c:v>
                </c:pt>
                <c:pt idx="11">
                  <c:v>0.01</c:v>
                </c:pt>
              </c:numCache>
            </c:numRef>
          </c:cat>
          <c:val>
            <c:numRef>
              <c:f>'Immunized Hedged Portfolio'!$Q$9:$Q$20</c:f>
              <c:numCache>
                <c:formatCode>_(* #,##0.00_);_(* \(#,##0.00\);_(* "-"??_);_(@_)</c:formatCode>
                <c:ptCount val="12"/>
                <c:pt idx="0">
                  <c:v>790306.49248262402</c:v>
                </c:pt>
                <c:pt idx="1">
                  <c:v>627262.29124515131</c:v>
                </c:pt>
                <c:pt idx="2">
                  <c:v>466709.54137815261</c:v>
                </c:pt>
                <c:pt idx="3">
                  <c:v>308648.24288162775</c:v>
                </c:pt>
                <c:pt idx="4">
                  <c:v>153078.3957555769</c:v>
                </c:pt>
                <c:pt idx="5">
                  <c:v>0</c:v>
                </c:pt>
                <c:pt idx="6">
                  <c:v>-150586.94438510295</c:v>
                </c:pt>
                <c:pt idx="7">
                  <c:v>-298682.43739973189</c:v>
                </c:pt>
                <c:pt idx="8">
                  <c:v>-371795.88964311872</c:v>
                </c:pt>
                <c:pt idx="9">
                  <c:v>-444286.479043887</c:v>
                </c:pt>
                <c:pt idx="10">
                  <c:v>-587399.06931756809</c:v>
                </c:pt>
                <c:pt idx="11">
                  <c:v>-728020.20822077524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80-47FC-91E1-9A508CAADB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86018032"/>
        <c:axId val="886018688"/>
      </c:barChart>
      <c:catAx>
        <c:axId val="886018032"/>
        <c:scaling>
          <c:orientation val="minMax"/>
        </c:scaling>
        <c:delete val="0"/>
        <c:axPos val="b"/>
        <c:numFmt formatCode="0.0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6018688"/>
        <c:crosses val="autoZero"/>
        <c:auto val="1"/>
        <c:lblAlgn val="ctr"/>
        <c:lblOffset val="100"/>
        <c:noMultiLvlLbl val="0"/>
      </c:catAx>
      <c:valAx>
        <c:axId val="8860186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60180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'Immunized Hedged Portfolio'!$R$8</c:f>
              <c:strCache>
                <c:ptCount val="1"/>
                <c:pt idx="0">
                  <c:v>Δ 5-Yr Bond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'Immunized Hedged Portfolio'!$P$9:$P$20</c:f>
              <c:numCache>
                <c:formatCode>0.00%</c:formatCode>
                <c:ptCount val="12"/>
                <c:pt idx="0">
                  <c:v>-0.01</c:v>
                </c:pt>
                <c:pt idx="1">
                  <c:v>-8.0000000000000002E-3</c:v>
                </c:pt>
                <c:pt idx="2">
                  <c:v>-6.0000000000000001E-3</c:v>
                </c:pt>
                <c:pt idx="3">
                  <c:v>-4.0000000000000001E-3</c:v>
                </c:pt>
                <c:pt idx="4">
                  <c:v>-2E-3</c:v>
                </c:pt>
                <c:pt idx="5">
                  <c:v>0</c:v>
                </c:pt>
                <c:pt idx="6">
                  <c:v>2E-3</c:v>
                </c:pt>
                <c:pt idx="7">
                  <c:v>4.0000000000000001E-3</c:v>
                </c:pt>
                <c:pt idx="8">
                  <c:v>5.0000000000000001E-3</c:v>
                </c:pt>
                <c:pt idx="9">
                  <c:v>6.0000000000000001E-3</c:v>
                </c:pt>
                <c:pt idx="10">
                  <c:v>8.0000000000000002E-3</c:v>
                </c:pt>
                <c:pt idx="11">
                  <c:v>0.01</c:v>
                </c:pt>
              </c:numCache>
            </c:numRef>
          </c:cat>
          <c:val>
            <c:numRef>
              <c:f>'Immunized Hedged Portfolio'!$R$9:$R$20</c:f>
              <c:numCache>
                <c:formatCode>_(* #,##0.00_);_(* \(#,##0.00\);_(* "-"??_);_(@_)</c:formatCode>
                <c:ptCount val="12"/>
                <c:pt idx="0">
                  <c:v>-775493.41927979223</c:v>
                </c:pt>
                <c:pt idx="1">
                  <c:v>-616991.90332409425</c:v>
                </c:pt>
                <c:pt idx="2">
                  <c:v>-460191.80341826595</c:v>
                </c:pt>
                <c:pt idx="3">
                  <c:v>-305093.11956230755</c:v>
                </c:pt>
                <c:pt idx="4">
                  <c:v>-151695.85175621888</c:v>
                </c:pt>
                <c:pt idx="5">
                  <c:v>0</c:v>
                </c:pt>
                <c:pt idx="6">
                  <c:v>149994.43570634912</c:v>
                </c:pt>
                <c:pt idx="7">
                  <c:v>298287.45536282845</c:v>
                </c:pt>
                <c:pt idx="8">
                  <c:v>371795.93417236692</c:v>
                </c:pt>
                <c:pt idx="9">
                  <c:v>444879.0589694379</c:v>
                </c:pt>
                <c:pt idx="10">
                  <c:v>589769.24652617774</c:v>
                </c:pt>
                <c:pt idx="11">
                  <c:v>732958.01803304767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4C-4428-9F32-659C669E55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32847872"/>
        <c:axId val="932849184"/>
      </c:barChart>
      <c:catAx>
        <c:axId val="932847872"/>
        <c:scaling>
          <c:orientation val="minMax"/>
        </c:scaling>
        <c:delete val="0"/>
        <c:axPos val="b"/>
        <c:numFmt formatCode="0.0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32849184"/>
        <c:crosses val="autoZero"/>
        <c:auto val="1"/>
        <c:lblAlgn val="ctr"/>
        <c:lblOffset val="100"/>
        <c:noMultiLvlLbl val="0"/>
      </c:catAx>
      <c:valAx>
        <c:axId val="9328491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328478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'Immunized Hedged Portfolio'!$S$8</c:f>
              <c:strCache>
                <c:ptCount val="1"/>
                <c:pt idx="0">
                  <c:v>Δ Hedge Port.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'Immunized Hedged Portfolio'!$P$9:$P$20</c:f>
              <c:numCache>
                <c:formatCode>0.00%</c:formatCode>
                <c:ptCount val="12"/>
                <c:pt idx="0">
                  <c:v>-0.01</c:v>
                </c:pt>
                <c:pt idx="1">
                  <c:v>-8.0000000000000002E-3</c:v>
                </c:pt>
                <c:pt idx="2">
                  <c:v>-6.0000000000000001E-3</c:v>
                </c:pt>
                <c:pt idx="3">
                  <c:v>-4.0000000000000001E-3</c:v>
                </c:pt>
                <c:pt idx="4">
                  <c:v>-2E-3</c:v>
                </c:pt>
                <c:pt idx="5">
                  <c:v>0</c:v>
                </c:pt>
                <c:pt idx="6">
                  <c:v>2E-3</c:v>
                </c:pt>
                <c:pt idx="7">
                  <c:v>4.0000000000000001E-3</c:v>
                </c:pt>
                <c:pt idx="8">
                  <c:v>5.0000000000000001E-3</c:v>
                </c:pt>
                <c:pt idx="9">
                  <c:v>6.0000000000000001E-3</c:v>
                </c:pt>
                <c:pt idx="10">
                  <c:v>8.0000000000000002E-3</c:v>
                </c:pt>
                <c:pt idx="11">
                  <c:v>0.01</c:v>
                </c:pt>
              </c:numCache>
            </c:numRef>
          </c:xVal>
          <c:yVal>
            <c:numRef>
              <c:f>'Immunized Hedged Portfolio'!$S$9:$S$20</c:f>
              <c:numCache>
                <c:formatCode>_(* #,##0.00_);_(* \(#,##0.00\);_(* "-"??_);_(@_)</c:formatCode>
                <c:ptCount val="12"/>
                <c:pt idx="0">
                  <c:v>14813.073202831787</c:v>
                </c:pt>
                <c:pt idx="1">
                  <c:v>10270.387921057059</c:v>
                </c:pt>
                <c:pt idx="2">
                  <c:v>6517.7379598866682</c:v>
                </c:pt>
                <c:pt idx="3">
                  <c:v>3555.1233193202061</c:v>
                </c:pt>
                <c:pt idx="4">
                  <c:v>1382.5439993580221</c:v>
                </c:pt>
                <c:pt idx="5">
                  <c:v>0</c:v>
                </c:pt>
                <c:pt idx="6">
                  <c:v>-592.50867875383119</c:v>
                </c:pt>
                <c:pt idx="7">
                  <c:v>-394.98203690344235</c:v>
                </c:pt>
                <c:pt idx="8">
                  <c:v>4.4529248203616589E-2</c:v>
                </c:pt>
                <c:pt idx="9">
                  <c:v>592.57992555090459</c:v>
                </c:pt>
                <c:pt idx="10">
                  <c:v>2370.1772086096462</c:v>
                </c:pt>
                <c:pt idx="11">
                  <c:v>4937.8098122724332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E62-442F-8C6C-279C6A6F02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24937008"/>
        <c:axId val="924941272"/>
      </c:scatterChart>
      <c:valAx>
        <c:axId val="9249370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24941272"/>
        <c:crosses val="autoZero"/>
        <c:crossBetween val="midCat"/>
      </c:valAx>
      <c:valAx>
        <c:axId val="9249412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2493700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'Immunized Hedged Portfolio'!$Q$8</c:f>
              <c:strCache>
                <c:ptCount val="1"/>
                <c:pt idx="0">
                  <c:v>Δ Porfolio Value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'Immunized Hedged Portfolio'!$P$9:$P$20</c:f>
              <c:numCache>
                <c:formatCode>0.00%</c:formatCode>
                <c:ptCount val="12"/>
                <c:pt idx="0">
                  <c:v>-0.01</c:v>
                </c:pt>
                <c:pt idx="1">
                  <c:v>-8.0000000000000002E-3</c:v>
                </c:pt>
                <c:pt idx="2">
                  <c:v>-6.0000000000000001E-3</c:v>
                </c:pt>
                <c:pt idx="3">
                  <c:v>-4.0000000000000001E-3</c:v>
                </c:pt>
                <c:pt idx="4">
                  <c:v>-2E-3</c:v>
                </c:pt>
                <c:pt idx="5">
                  <c:v>0</c:v>
                </c:pt>
                <c:pt idx="6">
                  <c:v>2E-3</c:v>
                </c:pt>
                <c:pt idx="7">
                  <c:v>4.0000000000000001E-3</c:v>
                </c:pt>
                <c:pt idx="8">
                  <c:v>5.0000000000000001E-3</c:v>
                </c:pt>
                <c:pt idx="9">
                  <c:v>6.0000000000000001E-3</c:v>
                </c:pt>
                <c:pt idx="10">
                  <c:v>8.0000000000000002E-3</c:v>
                </c:pt>
                <c:pt idx="11">
                  <c:v>0.01</c:v>
                </c:pt>
              </c:numCache>
            </c:numRef>
          </c:cat>
          <c:val>
            <c:numRef>
              <c:f>'Immunized Hedged Portfolio'!$Q$9:$Q$20</c:f>
              <c:numCache>
                <c:formatCode>_(* #,##0.00_);_(* \(#,##0.00\);_(* "-"??_);_(@_)</c:formatCode>
                <c:ptCount val="12"/>
                <c:pt idx="0">
                  <c:v>790306.49248262402</c:v>
                </c:pt>
                <c:pt idx="1">
                  <c:v>627262.29124515131</c:v>
                </c:pt>
                <c:pt idx="2">
                  <c:v>466709.54137815261</c:v>
                </c:pt>
                <c:pt idx="3">
                  <c:v>308648.24288162775</c:v>
                </c:pt>
                <c:pt idx="4">
                  <c:v>153078.3957555769</c:v>
                </c:pt>
                <c:pt idx="5">
                  <c:v>0</c:v>
                </c:pt>
                <c:pt idx="6">
                  <c:v>-150586.94438510295</c:v>
                </c:pt>
                <c:pt idx="7">
                  <c:v>-298682.43739973189</c:v>
                </c:pt>
                <c:pt idx="8">
                  <c:v>-371795.88964311872</c:v>
                </c:pt>
                <c:pt idx="9">
                  <c:v>-444286.479043887</c:v>
                </c:pt>
                <c:pt idx="10">
                  <c:v>-587399.06931756809</c:v>
                </c:pt>
                <c:pt idx="11">
                  <c:v>-728020.20822077524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63-4FB1-97D4-499B678042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86018032"/>
        <c:axId val="886018688"/>
      </c:barChart>
      <c:catAx>
        <c:axId val="886018032"/>
        <c:scaling>
          <c:orientation val="minMax"/>
        </c:scaling>
        <c:delete val="0"/>
        <c:axPos val="b"/>
        <c:numFmt formatCode="0.0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6018688"/>
        <c:crosses val="autoZero"/>
        <c:auto val="1"/>
        <c:lblAlgn val="ctr"/>
        <c:lblOffset val="100"/>
        <c:noMultiLvlLbl val="0"/>
      </c:catAx>
      <c:valAx>
        <c:axId val="8860186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60180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'Immunized Hedged Portfolio'!$R$8</c:f>
              <c:strCache>
                <c:ptCount val="1"/>
                <c:pt idx="0">
                  <c:v>Δ 5-Yr Bond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'Immunized Hedged Portfolio'!$P$9:$P$20</c:f>
              <c:numCache>
                <c:formatCode>0.00%</c:formatCode>
                <c:ptCount val="12"/>
                <c:pt idx="0">
                  <c:v>-0.01</c:v>
                </c:pt>
                <c:pt idx="1">
                  <c:v>-8.0000000000000002E-3</c:v>
                </c:pt>
                <c:pt idx="2">
                  <c:v>-6.0000000000000001E-3</c:v>
                </c:pt>
                <c:pt idx="3">
                  <c:v>-4.0000000000000001E-3</c:v>
                </c:pt>
                <c:pt idx="4">
                  <c:v>-2E-3</c:v>
                </c:pt>
                <c:pt idx="5">
                  <c:v>0</c:v>
                </c:pt>
                <c:pt idx="6">
                  <c:v>2E-3</c:v>
                </c:pt>
                <c:pt idx="7">
                  <c:v>4.0000000000000001E-3</c:v>
                </c:pt>
                <c:pt idx="8">
                  <c:v>5.0000000000000001E-3</c:v>
                </c:pt>
                <c:pt idx="9">
                  <c:v>6.0000000000000001E-3</c:v>
                </c:pt>
                <c:pt idx="10">
                  <c:v>8.0000000000000002E-3</c:v>
                </c:pt>
                <c:pt idx="11">
                  <c:v>0.01</c:v>
                </c:pt>
              </c:numCache>
            </c:numRef>
          </c:cat>
          <c:val>
            <c:numRef>
              <c:f>'Immunized Hedged Portfolio'!$R$9:$R$20</c:f>
              <c:numCache>
                <c:formatCode>_(* #,##0.00_);_(* \(#,##0.00\);_(* "-"??_);_(@_)</c:formatCode>
                <c:ptCount val="12"/>
                <c:pt idx="0">
                  <c:v>-775493.41927979223</c:v>
                </c:pt>
                <c:pt idx="1">
                  <c:v>-616991.90332409425</c:v>
                </c:pt>
                <c:pt idx="2">
                  <c:v>-460191.80341826595</c:v>
                </c:pt>
                <c:pt idx="3">
                  <c:v>-305093.11956230755</c:v>
                </c:pt>
                <c:pt idx="4">
                  <c:v>-151695.85175621888</c:v>
                </c:pt>
                <c:pt idx="5">
                  <c:v>0</c:v>
                </c:pt>
                <c:pt idx="6">
                  <c:v>149994.43570634912</c:v>
                </c:pt>
                <c:pt idx="7">
                  <c:v>298287.45536282845</c:v>
                </c:pt>
                <c:pt idx="8">
                  <c:v>371795.93417236692</c:v>
                </c:pt>
                <c:pt idx="9">
                  <c:v>444879.0589694379</c:v>
                </c:pt>
                <c:pt idx="10">
                  <c:v>589769.24652617774</c:v>
                </c:pt>
                <c:pt idx="11">
                  <c:v>732958.01803304767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08-4352-A482-99A3B77B68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32847872"/>
        <c:axId val="932849184"/>
      </c:barChart>
      <c:catAx>
        <c:axId val="932847872"/>
        <c:scaling>
          <c:orientation val="minMax"/>
        </c:scaling>
        <c:delete val="0"/>
        <c:axPos val="b"/>
        <c:numFmt formatCode="0.0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32849184"/>
        <c:crosses val="autoZero"/>
        <c:auto val="1"/>
        <c:lblAlgn val="ctr"/>
        <c:lblOffset val="100"/>
        <c:noMultiLvlLbl val="0"/>
      </c:catAx>
      <c:valAx>
        <c:axId val="9328491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328478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'Immunized Hedged Portfolio'!$S$8</c:f>
              <c:strCache>
                <c:ptCount val="1"/>
                <c:pt idx="0">
                  <c:v>Δ Hedge Port.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'Immunized Hedged Portfolio'!$P$9:$P$20</c:f>
              <c:numCache>
                <c:formatCode>0.00%</c:formatCode>
                <c:ptCount val="12"/>
                <c:pt idx="0">
                  <c:v>-0.01</c:v>
                </c:pt>
                <c:pt idx="1">
                  <c:v>-8.0000000000000002E-3</c:v>
                </c:pt>
                <c:pt idx="2">
                  <c:v>-6.0000000000000001E-3</c:v>
                </c:pt>
                <c:pt idx="3">
                  <c:v>-4.0000000000000001E-3</c:v>
                </c:pt>
                <c:pt idx="4">
                  <c:v>-2E-3</c:v>
                </c:pt>
                <c:pt idx="5">
                  <c:v>0</c:v>
                </c:pt>
                <c:pt idx="6">
                  <c:v>2E-3</c:v>
                </c:pt>
                <c:pt idx="7">
                  <c:v>4.0000000000000001E-3</c:v>
                </c:pt>
                <c:pt idx="8">
                  <c:v>5.0000000000000001E-3</c:v>
                </c:pt>
                <c:pt idx="9">
                  <c:v>6.0000000000000001E-3</c:v>
                </c:pt>
                <c:pt idx="10">
                  <c:v>8.0000000000000002E-3</c:v>
                </c:pt>
                <c:pt idx="11">
                  <c:v>0.01</c:v>
                </c:pt>
              </c:numCache>
            </c:numRef>
          </c:xVal>
          <c:yVal>
            <c:numRef>
              <c:f>'Immunized Hedged Portfolio'!$S$9:$S$20</c:f>
              <c:numCache>
                <c:formatCode>_(* #,##0.00_);_(* \(#,##0.00\);_(* "-"??_);_(@_)</c:formatCode>
                <c:ptCount val="12"/>
                <c:pt idx="0">
                  <c:v>14813.073202831787</c:v>
                </c:pt>
                <c:pt idx="1">
                  <c:v>10270.387921057059</c:v>
                </c:pt>
                <c:pt idx="2">
                  <c:v>6517.7379598866682</c:v>
                </c:pt>
                <c:pt idx="3">
                  <c:v>3555.1233193202061</c:v>
                </c:pt>
                <c:pt idx="4">
                  <c:v>1382.5439993580221</c:v>
                </c:pt>
                <c:pt idx="5">
                  <c:v>0</c:v>
                </c:pt>
                <c:pt idx="6">
                  <c:v>-592.50867875383119</c:v>
                </c:pt>
                <c:pt idx="7">
                  <c:v>-394.98203690344235</c:v>
                </c:pt>
                <c:pt idx="8">
                  <c:v>4.4529248203616589E-2</c:v>
                </c:pt>
                <c:pt idx="9">
                  <c:v>592.57992555090459</c:v>
                </c:pt>
                <c:pt idx="10">
                  <c:v>2370.1772086096462</c:v>
                </c:pt>
                <c:pt idx="11">
                  <c:v>4937.8098122724332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06C-482C-BA04-020160055A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24937008"/>
        <c:axId val="924941272"/>
      </c:scatterChart>
      <c:valAx>
        <c:axId val="9249370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24941272"/>
        <c:crosses val="autoZero"/>
        <c:crossBetween val="midCat"/>
      </c:valAx>
      <c:valAx>
        <c:axId val="9249412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2493700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Aggregate</a:t>
            </a:r>
            <a:r>
              <a:rPr lang="en-US" baseline="0"/>
              <a:t> Cash Flows of Hedged Portfolio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Performance!$F$5:$K$5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cat>
          <c:val>
            <c:numRef>
              <c:f>Performance!$F$6:$K$6</c:f>
              <c:numCache>
                <c:formatCode>_(* #,##0.00_);_(* \(#,##0.00\);_(* "-"??_);_(@_)</c:formatCode>
                <c:ptCount val="6"/>
                <c:pt idx="0">
                  <c:v>6102729.0418411233</c:v>
                </c:pt>
                <c:pt idx="1">
                  <c:v>1340561.7554062619</c:v>
                </c:pt>
                <c:pt idx="2">
                  <c:v>1340561.7554062619</c:v>
                </c:pt>
                <c:pt idx="3">
                  <c:v>1340561.7554062619</c:v>
                </c:pt>
                <c:pt idx="4">
                  <c:v>1340561.7554062619</c:v>
                </c:pt>
                <c:pt idx="5">
                  <c:v>-22997388.516991079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78-4483-9AF1-0DAC07ECC4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95416384"/>
        <c:axId val="695409184"/>
      </c:barChart>
      <c:catAx>
        <c:axId val="695416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5409184"/>
        <c:crosses val="autoZero"/>
        <c:auto val="1"/>
        <c:lblAlgn val="ctr"/>
        <c:lblOffset val="100"/>
        <c:noMultiLvlLbl val="0"/>
      </c:catAx>
      <c:valAx>
        <c:axId val="6954091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54163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colors4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836838</xdr:colOff>
      <xdr:row>35</xdr:row>
      <xdr:rowOff>159202</xdr:rowOff>
    </xdr:from>
    <xdr:to>
      <xdr:col>19</xdr:col>
      <xdr:colOff>483052</xdr:colOff>
      <xdr:row>50</xdr:row>
      <xdr:rowOff>44902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5B0E61D5-99AE-5857-CF27-4AD34017F96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809624</xdr:colOff>
      <xdr:row>21</xdr:row>
      <xdr:rowOff>9524</xdr:rowOff>
    </xdr:from>
    <xdr:to>
      <xdr:col>19</xdr:col>
      <xdr:colOff>455838</xdr:colOff>
      <xdr:row>35</xdr:row>
      <xdr:rowOff>85724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7DB77D29-57DD-140F-D9D2-DE4DF1EA94B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619125</xdr:colOff>
      <xdr:row>32</xdr:row>
      <xdr:rowOff>104775</xdr:rowOff>
    </xdr:from>
    <xdr:to>
      <xdr:col>14</xdr:col>
      <xdr:colOff>210911</xdr:colOff>
      <xdr:row>46</xdr:row>
      <xdr:rowOff>180975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43A3A1A7-B5ED-CB2C-97ED-7FDC1DABE05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836838</xdr:colOff>
      <xdr:row>35</xdr:row>
      <xdr:rowOff>159202</xdr:rowOff>
    </xdr:from>
    <xdr:to>
      <xdr:col>19</xdr:col>
      <xdr:colOff>483052</xdr:colOff>
      <xdr:row>50</xdr:row>
      <xdr:rowOff>44902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24F71EF-12D0-4ECA-85D9-73ED607E41F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809624</xdr:colOff>
      <xdr:row>21</xdr:row>
      <xdr:rowOff>9524</xdr:rowOff>
    </xdr:from>
    <xdr:to>
      <xdr:col>19</xdr:col>
      <xdr:colOff>455838</xdr:colOff>
      <xdr:row>35</xdr:row>
      <xdr:rowOff>85724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B859511B-AED3-4AAC-B13F-78476C296D6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619125</xdr:colOff>
      <xdr:row>32</xdr:row>
      <xdr:rowOff>104775</xdr:rowOff>
    </xdr:from>
    <xdr:to>
      <xdr:col>14</xdr:col>
      <xdr:colOff>210911</xdr:colOff>
      <xdr:row>46</xdr:row>
      <xdr:rowOff>180975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8E7F44A6-8562-4DFF-B707-A1F63EA7044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495300</xdr:colOff>
      <xdr:row>7</xdr:row>
      <xdr:rowOff>104775</xdr:rowOff>
    </xdr:from>
    <xdr:to>
      <xdr:col>10</xdr:col>
      <xdr:colOff>523875</xdr:colOff>
      <xdr:row>21</xdr:row>
      <xdr:rowOff>180975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4D84861-9E32-A4D0-D6DF-65D98114B9B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CB66C2-DA74-4796-A20E-081F86C85BCD}">
  <dimension ref="B4:Q26"/>
  <sheetViews>
    <sheetView zoomScale="70" zoomScaleNormal="70" workbookViewId="0">
      <selection activeCell="G26" sqref="G26"/>
    </sheetView>
  </sheetViews>
  <sheetFormatPr defaultRowHeight="15" x14ac:dyDescent="0.25"/>
  <cols>
    <col min="3" max="3" width="10" bestFit="1" customWidth="1"/>
    <col min="4" max="5" width="15" bestFit="1" customWidth="1"/>
  </cols>
  <sheetData>
    <row r="4" spans="2:17" x14ac:dyDescent="0.25">
      <c r="L4" s="2" t="s">
        <v>6</v>
      </c>
      <c r="M4" s="1">
        <f>((E13-E22)/0.002)*(1/D5)</f>
        <v>-3.9755809257583513E-4</v>
      </c>
    </row>
    <row r="5" spans="2:17" x14ac:dyDescent="0.25">
      <c r="B5" t="s">
        <v>0</v>
      </c>
      <c r="C5">
        <v>0.03</v>
      </c>
      <c r="D5" s="3">
        <f>(C8/(C5/C10))*(1-(1/(1+(C5/C10))^(C10*C6)))+(C9/(1+(C5/C10))^(C10*C6))</f>
        <v>2585015.5284433817</v>
      </c>
      <c r="K5" t="s">
        <v>0</v>
      </c>
      <c r="L5">
        <v>0.02</v>
      </c>
      <c r="N5" s="1"/>
      <c r="P5">
        <f>(100*L7/L5)*(1-(1/(1+L5)^L6))+(L9/(1+L5)^L6)</f>
        <v>100.98039215686275</v>
      </c>
    </row>
    <row r="6" spans="2:17" x14ac:dyDescent="0.25">
      <c r="B6" t="s">
        <v>1</v>
      </c>
      <c r="C6">
        <v>5</v>
      </c>
      <c r="K6" t="s">
        <v>1</v>
      </c>
      <c r="L6">
        <v>1</v>
      </c>
      <c r="N6" s="1">
        <f>(L8/(L5/L10))*(1-(1/(1+(L5/L10))^(L10*L6)))+(L9/(1+(L5/L10))^(L10*L6))</f>
        <v>99.509803921568619</v>
      </c>
    </row>
    <row r="7" spans="2:17" x14ac:dyDescent="0.25">
      <c r="B7" t="s">
        <v>2</v>
      </c>
      <c r="C7">
        <v>0.03</v>
      </c>
      <c r="E7" s="1"/>
      <c r="K7" t="s">
        <v>2</v>
      </c>
      <c r="L7">
        <v>0.03</v>
      </c>
      <c r="N7" s="1"/>
    </row>
    <row r="8" spans="2:17" x14ac:dyDescent="0.25">
      <c r="B8" t="s">
        <v>5</v>
      </c>
      <c r="C8">
        <f>(100*C7/2)</f>
        <v>1.5</v>
      </c>
      <c r="K8" t="s">
        <v>5</v>
      </c>
      <c r="L8">
        <f>(L7*100/2)</f>
        <v>1.5</v>
      </c>
    </row>
    <row r="9" spans="2:17" x14ac:dyDescent="0.25">
      <c r="B9" t="s">
        <v>3</v>
      </c>
      <c r="C9">
        <v>3000000</v>
      </c>
      <c r="F9" s="1">
        <f>(E13-E22)/(0.001*2)*1/D5</f>
        <v>-3.9755809257583519E-4</v>
      </c>
      <c r="K9" t="s">
        <v>3</v>
      </c>
      <c r="L9">
        <v>100</v>
      </c>
      <c r="O9" s="1">
        <f>(N13-N22)/(0.001*2)*1/N6</f>
        <v>-3.7205985046278007</v>
      </c>
      <c r="Q9">
        <f>((P13-P21)/0.002)*1/P5</f>
        <v>-0.98039309918598883</v>
      </c>
    </row>
    <row r="10" spans="2:17" x14ac:dyDescent="0.25">
      <c r="B10" t="s">
        <v>4</v>
      </c>
      <c r="C10">
        <v>2</v>
      </c>
      <c r="K10" t="s">
        <v>4</v>
      </c>
      <c r="L10">
        <v>1</v>
      </c>
    </row>
    <row r="13" spans="2:17" x14ac:dyDescent="0.25">
      <c r="B13" t="s">
        <v>0</v>
      </c>
      <c r="C13">
        <f>C5+0.001</f>
        <v>3.1E-2</v>
      </c>
      <c r="E13" s="1">
        <f>((C15*100)/C18/(C13/C18))*(1-(1/(1+C13/C18)^(C18*C14)))+(C17/(1+C13/C18)^(2*C14))</f>
        <v>133.31441160318417</v>
      </c>
      <c r="K13" t="s">
        <v>0</v>
      </c>
      <c r="L13">
        <f>L5+0.001</f>
        <v>2.1000000000000001E-2</v>
      </c>
      <c r="N13" s="1">
        <f>((L15*100)/L18/(L13/L18))*(1-(1/(1+L13/L18)^(L18*L14)))+(L17/(1+L13/L18)^(2*L14))</f>
        <v>98.866986237110794</v>
      </c>
      <c r="P13">
        <f>(100*L15/L13)*(1-(1/(1+L13)^L14))+(L17/(1+L13)^L14)</f>
        <v>100.8814887365328</v>
      </c>
    </row>
    <row r="14" spans="2:17" x14ac:dyDescent="0.25">
      <c r="B14" t="s">
        <v>1</v>
      </c>
      <c r="C14">
        <v>10</v>
      </c>
      <c r="K14" t="s">
        <v>1</v>
      </c>
      <c r="L14">
        <v>1</v>
      </c>
    </row>
    <row r="15" spans="2:17" x14ac:dyDescent="0.25">
      <c r="B15" t="s">
        <v>2</v>
      </c>
      <c r="C15">
        <v>7.0000000000000007E-2</v>
      </c>
      <c r="K15" t="s">
        <v>2</v>
      </c>
      <c r="L15">
        <v>0.03</v>
      </c>
    </row>
    <row r="16" spans="2:17" x14ac:dyDescent="0.25">
      <c r="B16" t="s">
        <v>5</v>
      </c>
      <c r="C16">
        <f>7/2</f>
        <v>3.5</v>
      </c>
      <c r="K16" t="s">
        <v>5</v>
      </c>
      <c r="L16">
        <f>(L15*100/2)</f>
        <v>1.5</v>
      </c>
    </row>
    <row r="17" spans="2:16" x14ac:dyDescent="0.25">
      <c r="B17" t="s">
        <v>3</v>
      </c>
      <c r="C17">
        <v>100</v>
      </c>
      <c r="K17" t="s">
        <v>3</v>
      </c>
      <c r="L17">
        <v>100</v>
      </c>
    </row>
    <row r="18" spans="2:16" x14ac:dyDescent="0.25">
      <c r="B18" t="s">
        <v>4</v>
      </c>
      <c r="C18">
        <v>2</v>
      </c>
      <c r="K18" t="s">
        <v>4</v>
      </c>
      <c r="L18">
        <v>1</v>
      </c>
    </row>
    <row r="21" spans="2:16" x14ac:dyDescent="0.25">
      <c r="B21" t="s">
        <v>0</v>
      </c>
      <c r="C21">
        <f>C5-0.001</f>
        <v>2.8999999999999998E-2</v>
      </c>
      <c r="E21" s="1"/>
      <c r="K21" t="s">
        <v>0</v>
      </c>
      <c r="L21">
        <f>L5-0.001</f>
        <v>1.9E-2</v>
      </c>
      <c r="N21" s="1"/>
      <c r="P21">
        <f>(100*L23/L21)*(1-(1/(1+L21)^L22))+(L25/(1+L21)^L22)</f>
        <v>101.07948969578017</v>
      </c>
    </row>
    <row r="22" spans="2:16" x14ac:dyDescent="0.25">
      <c r="B22" t="s">
        <v>1</v>
      </c>
      <c r="C22">
        <v>10</v>
      </c>
      <c r="E22" s="1">
        <f>(C24/(C21/C26))*(1-(1/(1+(C21/C26))^(C26*C22)))+(C25/(1+(C21/C26))^(C26*C22))</f>
        <v>135.3697992887179</v>
      </c>
      <c r="K22" t="s">
        <v>1</v>
      </c>
      <c r="L22">
        <v>1</v>
      </c>
      <c r="N22" s="1">
        <f>(L24/(L21/L26))*(1-(1/(1+(L21/L26))^(L26*L22)))+(L25/(1+(L21/L26))^(L26*L22))</f>
        <v>99.607458292443582</v>
      </c>
    </row>
    <row r="23" spans="2:16" x14ac:dyDescent="0.25">
      <c r="B23" t="s">
        <v>2</v>
      </c>
      <c r="C23">
        <v>7.0000000000000007E-2</v>
      </c>
      <c r="E23" s="1"/>
      <c r="K23" t="s">
        <v>2</v>
      </c>
      <c r="L23">
        <v>0.03</v>
      </c>
      <c r="N23" s="1"/>
    </row>
    <row r="24" spans="2:16" x14ac:dyDescent="0.25">
      <c r="B24" t="s">
        <v>5</v>
      </c>
      <c r="C24">
        <f>7/2</f>
        <v>3.5</v>
      </c>
      <c r="K24" t="s">
        <v>5</v>
      </c>
      <c r="L24">
        <f>(L23*100/2)</f>
        <v>1.5</v>
      </c>
    </row>
    <row r="25" spans="2:16" x14ac:dyDescent="0.25">
      <c r="B25" t="s">
        <v>3</v>
      </c>
      <c r="C25">
        <v>100</v>
      </c>
      <c r="K25" t="s">
        <v>3</v>
      </c>
      <c r="L25">
        <v>100</v>
      </c>
    </row>
    <row r="26" spans="2:16" x14ac:dyDescent="0.25">
      <c r="B26" t="s">
        <v>4</v>
      </c>
      <c r="C26">
        <v>2</v>
      </c>
      <c r="K26" t="s">
        <v>4</v>
      </c>
      <c r="L26">
        <v>1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3E133-DE9A-469D-A3F6-54FCB5FC8559}">
  <dimension ref="C4:P27"/>
  <sheetViews>
    <sheetView zoomScale="70" zoomScaleNormal="70" workbookViewId="0">
      <selection activeCell="D5" sqref="D5"/>
    </sheetView>
  </sheetViews>
  <sheetFormatPr defaultRowHeight="15" x14ac:dyDescent="0.25"/>
  <cols>
    <col min="3" max="3" width="8.7109375" bestFit="1" customWidth="1"/>
    <col min="4" max="4" width="13.140625" bestFit="1" customWidth="1"/>
    <col min="6" max="6" width="15.42578125" bestFit="1" customWidth="1"/>
    <col min="9" max="9" width="8.7109375" bestFit="1" customWidth="1"/>
    <col min="10" max="10" width="13.140625" bestFit="1" customWidth="1"/>
    <col min="12" max="12" width="15.42578125" bestFit="1" customWidth="1"/>
    <col min="15" max="15" width="17.7109375" bestFit="1" customWidth="1"/>
  </cols>
  <sheetData>
    <row r="4" spans="3:16" x14ac:dyDescent="0.25">
      <c r="C4" t="s">
        <v>0</v>
      </c>
      <c r="D4">
        <v>7.0000000000000007E-2</v>
      </c>
      <c r="I4" t="s">
        <v>0</v>
      </c>
      <c r="J4">
        <v>0.09</v>
      </c>
    </row>
    <row r="5" spans="3:16" x14ac:dyDescent="0.25">
      <c r="C5" t="s">
        <v>1</v>
      </c>
      <c r="D5">
        <v>3</v>
      </c>
      <c r="F5" s="3">
        <f>(D7/(D4/D9))*(1-(1/(1+(D4/D9))^(D9*D5)))+(D8/(1+(D4/D9))^(D9*D5))</f>
        <v>8135025.0930130975</v>
      </c>
      <c r="I5" t="s">
        <v>1</v>
      </c>
      <c r="J5">
        <v>2</v>
      </c>
      <c r="L5" s="3">
        <f>(J7/(J4/J9))*(1-(1/(1+(J4/J9))^(J9*J5)))+(J8/(1+(J4/J9))^(J9*J5))</f>
        <v>6708505.0988485105</v>
      </c>
      <c r="O5" t="s">
        <v>7</v>
      </c>
      <c r="P5" s="1">
        <f>F5/F27*G8+L5/F27*M8</f>
        <v>-2.4535308359691053</v>
      </c>
    </row>
    <row r="6" spans="3:16" x14ac:dyDescent="0.25">
      <c r="C6" t="s">
        <v>2</v>
      </c>
      <c r="D6">
        <v>7.0000000000000007E-2</v>
      </c>
      <c r="F6" s="3"/>
      <c r="I6" t="s">
        <v>2</v>
      </c>
      <c r="J6">
        <v>0.08</v>
      </c>
      <c r="L6" s="3"/>
    </row>
    <row r="7" spans="3:16" x14ac:dyDescent="0.25">
      <c r="C7" t="s">
        <v>5</v>
      </c>
      <c r="D7">
        <f>D6*100/2</f>
        <v>3.5000000000000004</v>
      </c>
      <c r="F7" s="3"/>
      <c r="I7" t="s">
        <v>5</v>
      </c>
      <c r="J7">
        <f>J6*100/2</f>
        <v>4</v>
      </c>
      <c r="L7" s="3"/>
    </row>
    <row r="8" spans="3:16" x14ac:dyDescent="0.25">
      <c r="C8" t="s">
        <v>3</v>
      </c>
      <c r="D8" s="4">
        <v>10000000</v>
      </c>
      <c r="F8" s="5" t="s">
        <v>6</v>
      </c>
      <c r="G8" s="1">
        <f>(F12-F21)/(0.001*2)*1/F5</f>
        <v>-2.8985541584125567</v>
      </c>
      <c r="I8" t="s">
        <v>3</v>
      </c>
      <c r="J8" s="4">
        <v>8000000</v>
      </c>
      <c r="L8" s="5" t="s">
        <v>6</v>
      </c>
      <c r="M8" s="1">
        <f>(L12-L21)/(0.001*2)*1/L5</f>
        <v>-1.9138761973112404</v>
      </c>
    </row>
    <row r="9" spans="3:16" x14ac:dyDescent="0.25">
      <c r="C9" t="s">
        <v>4</v>
      </c>
      <c r="D9">
        <v>2</v>
      </c>
      <c r="F9" s="3"/>
      <c r="I9" t="s">
        <v>4</v>
      </c>
      <c r="J9">
        <v>2</v>
      </c>
      <c r="L9" s="3"/>
    </row>
    <row r="10" spans="3:16" x14ac:dyDescent="0.25">
      <c r="F10" s="3"/>
      <c r="L10" s="3"/>
    </row>
    <row r="11" spans="3:16" x14ac:dyDescent="0.25">
      <c r="F11" s="3"/>
      <c r="L11" s="3"/>
    </row>
    <row r="12" spans="3:16" x14ac:dyDescent="0.25">
      <c r="C12" t="s">
        <v>0</v>
      </c>
      <c r="D12">
        <f>D4+0.001</f>
        <v>7.1000000000000008E-2</v>
      </c>
      <c r="F12" s="3">
        <f>((D14*100)/D17/(D12/D17))*(1-(1/(1+D12/D17)^(D17*D13)))+(D16/(1+D12/D17)^(2*D13))</f>
        <v>8111485.1514023626</v>
      </c>
      <c r="I12" t="s">
        <v>0</v>
      </c>
      <c r="J12">
        <f>J4+0.001</f>
        <v>9.0999999999999998E-2</v>
      </c>
      <c r="L12" s="3">
        <f>((J14*100)/J17/(J12/J17))*(1-(1/(1+J12/J17)^(J17*J13)))+(J16/(1+J12/J17)^(2*J13))</f>
        <v>6695681.2085632365</v>
      </c>
    </row>
    <row r="13" spans="3:16" x14ac:dyDescent="0.25">
      <c r="C13" t="s">
        <v>1</v>
      </c>
      <c r="D13">
        <v>3</v>
      </c>
      <c r="F13" s="3"/>
      <c r="I13" t="s">
        <v>1</v>
      </c>
      <c r="J13">
        <v>2</v>
      </c>
      <c r="L13" s="3"/>
    </row>
    <row r="14" spans="3:16" x14ac:dyDescent="0.25">
      <c r="C14" t="s">
        <v>2</v>
      </c>
      <c r="D14">
        <v>7.0000000000000007E-2</v>
      </c>
      <c r="F14" s="3"/>
      <c r="I14" t="s">
        <v>2</v>
      </c>
      <c r="J14">
        <f>J6</f>
        <v>0.08</v>
      </c>
      <c r="L14" s="3"/>
    </row>
    <row r="15" spans="3:16" x14ac:dyDescent="0.25">
      <c r="C15" t="s">
        <v>5</v>
      </c>
      <c r="D15">
        <f>D14*100/2</f>
        <v>3.5000000000000004</v>
      </c>
      <c r="F15" s="3"/>
      <c r="I15" t="s">
        <v>5</v>
      </c>
      <c r="J15">
        <f>J14*100/2</f>
        <v>4</v>
      </c>
      <c r="L15" s="3"/>
    </row>
    <row r="16" spans="3:16" x14ac:dyDescent="0.25">
      <c r="C16" t="s">
        <v>3</v>
      </c>
      <c r="D16" s="4">
        <v>10000000</v>
      </c>
      <c r="F16" s="3"/>
      <c r="I16" t="s">
        <v>3</v>
      </c>
      <c r="J16" s="4">
        <v>8000000</v>
      </c>
      <c r="L16" s="3"/>
    </row>
    <row r="17" spans="3:12" x14ac:dyDescent="0.25">
      <c r="C17" t="s">
        <v>4</v>
      </c>
      <c r="D17">
        <v>2</v>
      </c>
      <c r="F17" s="3"/>
      <c r="I17" t="s">
        <v>4</v>
      </c>
      <c r="J17">
        <v>2</v>
      </c>
      <c r="L17" s="3"/>
    </row>
    <row r="18" spans="3:12" x14ac:dyDescent="0.25">
      <c r="F18" s="3"/>
      <c r="L18" s="3"/>
    </row>
    <row r="19" spans="3:12" x14ac:dyDescent="0.25">
      <c r="F19" s="3"/>
      <c r="L19" s="3"/>
    </row>
    <row r="20" spans="3:12" x14ac:dyDescent="0.25">
      <c r="C20" t="s">
        <v>0</v>
      </c>
      <c r="D20">
        <f>D4-0.001</f>
        <v>6.9000000000000006E-2</v>
      </c>
      <c r="F20" s="3"/>
      <c r="I20" t="s">
        <v>0</v>
      </c>
      <c r="J20">
        <f>J4-0.001</f>
        <v>8.8999999999999996E-2</v>
      </c>
      <c r="L20" s="3"/>
    </row>
    <row r="21" spans="3:12" x14ac:dyDescent="0.25">
      <c r="C21" t="s">
        <v>1</v>
      </c>
      <c r="D21">
        <v>3</v>
      </c>
      <c r="F21" s="3">
        <f>(D23/(D20/D25))*(1-(1/(1+(D20/D25))^(D25*D21)))+(D24/(1+(D20/D25))^(D25*D21))</f>
        <v>8158644.7730266498</v>
      </c>
      <c r="I21" t="s">
        <v>1</v>
      </c>
      <c r="J21">
        <v>2</v>
      </c>
      <c r="L21" s="3">
        <f>(J23/(J20/J25))*(1-(1/(1+(J20/J25))^(J25*J21)))+(J24/(1+(J20/J25))^(J25*J21))</f>
        <v>6721359.705019691</v>
      </c>
    </row>
    <row r="22" spans="3:12" x14ac:dyDescent="0.25">
      <c r="C22" t="s">
        <v>2</v>
      </c>
      <c r="D22">
        <v>7.0000000000000007E-2</v>
      </c>
      <c r="I22" t="s">
        <v>2</v>
      </c>
      <c r="J22">
        <f>J6</f>
        <v>0.08</v>
      </c>
    </row>
    <row r="23" spans="3:12" x14ac:dyDescent="0.25">
      <c r="C23" t="s">
        <v>5</v>
      </c>
      <c r="D23">
        <f>D22*100/2</f>
        <v>3.5000000000000004</v>
      </c>
      <c r="I23" t="s">
        <v>5</v>
      </c>
      <c r="J23">
        <f>J22*100/2</f>
        <v>4</v>
      </c>
    </row>
    <row r="24" spans="3:12" x14ac:dyDescent="0.25">
      <c r="C24" t="s">
        <v>3</v>
      </c>
      <c r="D24" s="4">
        <v>10000000</v>
      </c>
      <c r="I24" t="s">
        <v>3</v>
      </c>
      <c r="J24" s="4">
        <v>8000000</v>
      </c>
    </row>
    <row r="25" spans="3:12" x14ac:dyDescent="0.25">
      <c r="C25" t="s">
        <v>4</v>
      </c>
      <c r="D25">
        <v>2</v>
      </c>
      <c r="I25" t="s">
        <v>4</v>
      </c>
      <c r="J25">
        <v>2</v>
      </c>
    </row>
    <row r="27" spans="3:12" x14ac:dyDescent="0.25">
      <c r="F27" s="15">
        <f>F5+L5</f>
        <v>14843530.191861607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96C3CC-A65F-49B5-B4EC-3D6F74BF627C}">
  <dimension ref="E4:M12"/>
  <sheetViews>
    <sheetView workbookViewId="0">
      <selection activeCell="M9" sqref="M9"/>
    </sheetView>
  </sheetViews>
  <sheetFormatPr defaultRowHeight="15" x14ac:dyDescent="0.25"/>
  <cols>
    <col min="10" max="10" width="10.5703125" bestFit="1" customWidth="1"/>
  </cols>
  <sheetData>
    <row r="4" spans="5:13" x14ac:dyDescent="0.25">
      <c r="F4" s="6" t="s">
        <v>8</v>
      </c>
      <c r="G4" s="7" t="s">
        <v>9</v>
      </c>
      <c r="H4" s="7" t="s">
        <v>10</v>
      </c>
      <c r="I4" s="7" t="s">
        <v>11</v>
      </c>
      <c r="J4" s="8" t="s">
        <v>12</v>
      </c>
    </row>
    <row r="5" spans="5:13" x14ac:dyDescent="0.25">
      <c r="F5" s="9" t="s">
        <v>13</v>
      </c>
      <c r="G5" s="10">
        <v>1</v>
      </c>
      <c r="H5" s="10">
        <v>0.03</v>
      </c>
      <c r="I5" s="10">
        <v>0.02</v>
      </c>
      <c r="J5" s="11">
        <v>100</v>
      </c>
    </row>
    <row r="6" spans="5:13" x14ac:dyDescent="0.25">
      <c r="F6" s="9" t="s">
        <v>14</v>
      </c>
      <c r="G6" s="10">
        <v>2</v>
      </c>
      <c r="H6" s="10">
        <v>0.05</v>
      </c>
      <c r="I6" s="10">
        <v>0.03</v>
      </c>
      <c r="J6" s="11">
        <v>100</v>
      </c>
    </row>
    <row r="7" spans="5:13" x14ac:dyDescent="0.25">
      <c r="F7" s="12" t="s">
        <v>15</v>
      </c>
      <c r="G7" s="13">
        <v>3</v>
      </c>
      <c r="H7" s="13">
        <v>0.02</v>
      </c>
      <c r="I7" s="13">
        <v>0.05</v>
      </c>
      <c r="J7" s="14">
        <v>100</v>
      </c>
    </row>
    <row r="8" spans="5:13" x14ac:dyDescent="0.25">
      <c r="L8" t="s">
        <v>16</v>
      </c>
    </row>
    <row r="9" spans="5:13" x14ac:dyDescent="0.25">
      <c r="E9" t="str">
        <f>F5</f>
        <v>H</v>
      </c>
      <c r="F9" s="1">
        <f>((100*H5)/(I5))*(1-(1/(1+I5)^(G5)))+(J5/(1+I5)^(G5))</f>
        <v>100.98039215686275</v>
      </c>
      <c r="G9">
        <f>0.001+I5</f>
        <v>2.1000000000000001E-2</v>
      </c>
      <c r="H9" s="1">
        <f>((100*H5)/G9)*(1-(1/(1+G9)^(G5)))+(J5/(1+G9)^G5)</f>
        <v>100.8814887365328</v>
      </c>
      <c r="I9">
        <f>I5-0.001</f>
        <v>1.9E-2</v>
      </c>
      <c r="J9" s="1">
        <f>(100*H5/I9)*(1-(1/(1+I9)^G5))+(J5/(1+I9)^G5)</f>
        <v>101.07948969578017</v>
      </c>
      <c r="K9" s="1">
        <f>((H9-J9)/0.002)*(1/F9)</f>
        <v>-0.98039309918598883</v>
      </c>
      <c r="L9">
        <f>F9/($F$9+$F$10+$F$11)</f>
        <v>0.34041671192642031</v>
      </c>
      <c r="M9" s="1">
        <f>L9*K9+L10*K10+L11*K11</f>
        <v>-1.8639266682249493</v>
      </c>
    </row>
    <row r="10" spans="5:13" x14ac:dyDescent="0.25">
      <c r="E10" t="str">
        <f t="shared" ref="E10:E11" si="0">F6</f>
        <v>I</v>
      </c>
      <c r="F10" s="1">
        <f t="shared" ref="F10:F11" si="1">((100*H6)/(I6))*(1-(1/(1+I6)^(G6)))+(J6/(1+I6)^(G6))</f>
        <v>103.82693939108304</v>
      </c>
      <c r="G10">
        <f t="shared" ref="G10:G11" si="2">0.001+I6</f>
        <v>3.1E-2</v>
      </c>
      <c r="H10" s="1">
        <f t="shared" ref="H10:H11" si="3">((100*H6)/G10)*(1-(1/(1+G10)^(G6)))+(J6/(1+G10)^G6)</f>
        <v>103.63033074590695</v>
      </c>
      <c r="I10">
        <f>I6-0.001</f>
        <v>2.8999999999999998E-2</v>
      </c>
      <c r="J10" s="1">
        <f t="shared" ref="J10:J11" si="4">(100*H6/I10)*(1-(1/(1+I10)^G6))+(J6/(1+I10)^G6)</f>
        <v>104.0241169354039</v>
      </c>
      <c r="K10" s="1">
        <f t="shared" ref="K10:K11" si="5">((H10-J10)/0.002)*(1/F10)</f>
        <v>-1.8963584586351085</v>
      </c>
      <c r="L10">
        <f t="shared" ref="L10:L11" si="6">F10/($F$9+$F$10+$F$11)</f>
        <v>0.35001275556538003</v>
      </c>
    </row>
    <row r="11" spans="5:13" x14ac:dyDescent="0.25">
      <c r="E11" t="str">
        <f t="shared" si="0"/>
        <v>J</v>
      </c>
      <c r="F11" s="1">
        <f t="shared" si="1"/>
        <v>91.830255911888557</v>
      </c>
      <c r="G11">
        <f t="shared" si="2"/>
        <v>5.1000000000000004E-2</v>
      </c>
      <c r="H11" s="1">
        <f t="shared" si="3"/>
        <v>91.573724959196724</v>
      </c>
      <c r="I11">
        <f>I7-0.001</f>
        <v>4.9000000000000002E-2</v>
      </c>
      <c r="J11" s="1">
        <f t="shared" si="4"/>
        <v>92.087759230581</v>
      </c>
      <c r="K11" s="1">
        <f t="shared" si="5"/>
        <v>-2.7988284813095436</v>
      </c>
      <c r="L11">
        <f t="shared" si="6"/>
        <v>0.3095705325081996</v>
      </c>
    </row>
    <row r="12" spans="5:13" x14ac:dyDescent="0.25">
      <c r="L12">
        <f>SUM(L9:L11)</f>
        <v>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D4B294-1C51-40F9-BCFF-A05BB24A5E9D}">
  <dimension ref="A2:S30"/>
  <sheetViews>
    <sheetView zoomScale="70" zoomScaleNormal="70" workbookViewId="0"/>
  </sheetViews>
  <sheetFormatPr defaultRowHeight="15" x14ac:dyDescent="0.25"/>
  <cols>
    <col min="1" max="1" width="2.85546875" bestFit="1" customWidth="1"/>
    <col min="2" max="2" width="8.7109375" bestFit="1" customWidth="1"/>
    <col min="3" max="3" width="12.42578125" bestFit="1" customWidth="1"/>
    <col min="4" max="4" width="12" bestFit="1" customWidth="1"/>
    <col min="5" max="5" width="12.42578125" bestFit="1" customWidth="1"/>
    <col min="6" max="6" width="12.42578125" customWidth="1"/>
    <col min="7" max="7" width="12.42578125" bestFit="1" customWidth="1"/>
    <col min="8" max="8" width="13.28515625" bestFit="1" customWidth="1"/>
    <col min="9" max="10" width="12.42578125" bestFit="1" customWidth="1"/>
    <col min="13" max="13" width="12.5703125" bestFit="1" customWidth="1"/>
    <col min="14" max="14" width="18.85546875" bestFit="1" customWidth="1"/>
    <col min="15" max="15" width="13.140625" bestFit="1" customWidth="1"/>
    <col min="17" max="17" width="19.7109375" bestFit="1" customWidth="1"/>
    <col min="18" max="18" width="15.28515625" bestFit="1" customWidth="1"/>
    <col min="19" max="19" width="16.5703125" bestFit="1" customWidth="1"/>
  </cols>
  <sheetData>
    <row r="2" spans="1:19" x14ac:dyDescent="0.25">
      <c r="B2" s="18" t="s">
        <v>9</v>
      </c>
      <c r="C2" s="19" t="s">
        <v>10</v>
      </c>
      <c r="D2" s="19" t="s">
        <v>17</v>
      </c>
      <c r="E2" s="20" t="s">
        <v>12</v>
      </c>
      <c r="F2" s="10"/>
      <c r="M2" t="s">
        <v>23</v>
      </c>
      <c r="N2" t="s">
        <v>24</v>
      </c>
      <c r="O2" t="s">
        <v>26</v>
      </c>
    </row>
    <row r="3" spans="1:19" x14ac:dyDescent="0.25">
      <c r="A3" s="10" t="s">
        <v>18</v>
      </c>
      <c r="B3" s="9">
        <v>5</v>
      </c>
      <c r="C3" s="10">
        <v>0.03</v>
      </c>
      <c r="D3" s="10">
        <v>7.0000000000000007E-2</v>
      </c>
      <c r="E3" s="16">
        <v>3000000</v>
      </c>
      <c r="F3" s="21" t="s">
        <v>18</v>
      </c>
      <c r="G3" s="5" t="s">
        <v>6</v>
      </c>
      <c r="H3" s="1">
        <f>((D17-D25)/0.002)*(1/D9)</f>
        <v>-4.8309291237051184</v>
      </c>
      <c r="I3" t="s">
        <v>21</v>
      </c>
      <c r="J3" s="1">
        <f>(1/D9)*((D17+D25-2*D9)/0.001^2)</f>
        <v>25.671527183845139</v>
      </c>
      <c r="K3" t="s">
        <v>22</v>
      </c>
      <c r="L3">
        <f>D9/(D9+G9+J9)</f>
        <v>0.20697812814932087</v>
      </c>
      <c r="M3" s="1">
        <f>L3*H3+L4*H4+L5*H5</f>
        <v>-7.3882126088307949</v>
      </c>
      <c r="N3" s="1">
        <f>L3*J3+L4*J4+L5*J5</f>
        <v>60.617298046253083</v>
      </c>
      <c r="O3" s="22">
        <f>D9+G9+J9</f>
        <v>10275331.67419013</v>
      </c>
    </row>
    <row r="4" spans="1:19" x14ac:dyDescent="0.25">
      <c r="A4" s="10" t="s">
        <v>19</v>
      </c>
      <c r="B4" s="9">
        <v>9</v>
      </c>
      <c r="C4" s="10">
        <v>0.05</v>
      </c>
      <c r="D4" s="10">
        <v>0.04</v>
      </c>
      <c r="E4" s="16">
        <v>7000000</v>
      </c>
      <c r="F4" s="21" t="s">
        <v>19</v>
      </c>
      <c r="G4" s="5" t="s">
        <v>6</v>
      </c>
      <c r="H4" s="1">
        <f>((G17-G25)/0.002)*(1/G9)</f>
        <v>-8.82362983550391</v>
      </c>
      <c r="I4" t="s">
        <v>21</v>
      </c>
      <c r="J4" s="1">
        <f>(1/G9)*((G17+G25-2*G9)/0.001^2)</f>
        <v>82.180206916706979</v>
      </c>
      <c r="K4" t="s">
        <v>22</v>
      </c>
      <c r="L4">
        <f>G9/(D9+G9+J9)</f>
        <v>0.47698247222017637</v>
      </c>
    </row>
    <row r="5" spans="1:19" x14ac:dyDescent="0.25">
      <c r="A5" s="10" t="s">
        <v>20</v>
      </c>
      <c r="B5" s="12">
        <v>7</v>
      </c>
      <c r="C5" s="13">
        <v>0.02</v>
      </c>
      <c r="D5" s="13">
        <v>0.03</v>
      </c>
      <c r="E5" s="17">
        <v>4000000</v>
      </c>
      <c r="F5" s="21" t="s">
        <v>20</v>
      </c>
      <c r="G5" s="5" t="s">
        <v>6</v>
      </c>
      <c r="H5" s="1">
        <f>((J17-J25)/0.002)*(1/J9)</f>
        <v>-6.8966058385067921</v>
      </c>
      <c r="I5" t="s">
        <v>21</v>
      </c>
      <c r="J5" s="1">
        <f>(1/J9)*((J17+J25-2*J9)/0.001^2)</f>
        <v>50.95989664307492</v>
      </c>
      <c r="K5" t="s">
        <v>22</v>
      </c>
      <c r="L5">
        <f>J9/(D9+G9+J9)</f>
        <v>0.31603939963050282</v>
      </c>
    </row>
    <row r="6" spans="1:19" x14ac:dyDescent="0.25">
      <c r="L6">
        <f>SUM(L3:L5)</f>
        <v>1</v>
      </c>
    </row>
    <row r="8" spans="1:19" ht="18.75" x14ac:dyDescent="0.3">
      <c r="B8" t="s">
        <v>18</v>
      </c>
      <c r="E8" t="s">
        <v>19</v>
      </c>
      <c r="H8" t="s">
        <v>20</v>
      </c>
      <c r="M8" s="23" t="s">
        <v>25</v>
      </c>
      <c r="N8" s="15">
        <f>(M3*0.005+0.5*N3*(0.005)^2)*O3</f>
        <v>-371795.88964311872</v>
      </c>
      <c r="P8" s="24" t="s">
        <v>27</v>
      </c>
      <c r="Q8" s="25" t="s">
        <v>28</v>
      </c>
      <c r="R8" s="25" t="s">
        <v>29</v>
      </c>
      <c r="S8" s="26" t="s">
        <v>30</v>
      </c>
    </row>
    <row r="9" spans="1:19" x14ac:dyDescent="0.25">
      <c r="B9" t="s">
        <v>0</v>
      </c>
      <c r="C9">
        <v>7.0000000000000007E-2</v>
      </c>
      <c r="D9" s="22">
        <f>(C12/(C9/C14))*(1-(1/(1+(C9/C14))^(C14*C10)))+(C13/(1+(C9/C14))^(C14*C10))</f>
        <v>2126768.9160373006</v>
      </c>
      <c r="E9" t="s">
        <v>0</v>
      </c>
      <c r="F9">
        <v>0.04</v>
      </c>
      <c r="G9" s="22">
        <f>(F12/(F9/F14))*(1-(1/(1+(F9/F14))^(F14*F10)))+(F13/(1+(F9/F14))^(F14*F10))</f>
        <v>4901153.1048374921</v>
      </c>
      <c r="H9" t="s">
        <v>0</v>
      </c>
      <c r="I9">
        <v>0.03</v>
      </c>
      <c r="J9" s="22">
        <f>(I12/(I9/I14))*(1-(1/(1+(I9/I14))^(I14*I10)))+(I13/(1+(I9/I14))^(I14*I10))</f>
        <v>3247409.6533153378</v>
      </c>
      <c r="M9" t="s">
        <v>19</v>
      </c>
      <c r="N9" s="15">
        <f>-N8/(-4.69*0.005+0.5*26.45*0.005^2)</f>
        <v>-16081571.826362897</v>
      </c>
      <c r="P9" s="32">
        <v>-0.01</v>
      </c>
      <c r="Q9" s="33">
        <f t="shared" ref="Q9:Q16" si="0">($M$3*P9+0.5*$N$3*P9^2)*$O$3</f>
        <v>790306.49248262402</v>
      </c>
      <c r="R9" s="33">
        <f t="shared" ref="R9:R16" si="1">(-$N$22*P9+0.5*$N$23*P9^2)*$N$9</f>
        <v>-775493.41927979223</v>
      </c>
      <c r="S9" s="34">
        <f t="shared" ref="S9:S19" si="2">SUM(Q9:R9)</f>
        <v>14813.073202831787</v>
      </c>
    </row>
    <row r="10" spans="1:19" x14ac:dyDescent="0.25">
      <c r="B10" t="s">
        <v>1</v>
      </c>
      <c r="C10">
        <v>5</v>
      </c>
      <c r="D10" s="3"/>
      <c r="E10" t="s">
        <v>1</v>
      </c>
      <c r="F10">
        <v>9</v>
      </c>
      <c r="H10" t="s">
        <v>1</v>
      </c>
      <c r="I10">
        <v>7</v>
      </c>
      <c r="P10" s="27">
        <v>-8.0000000000000002E-3</v>
      </c>
      <c r="Q10" s="15">
        <f t="shared" si="0"/>
        <v>627262.29124515131</v>
      </c>
      <c r="R10" s="15">
        <f t="shared" si="1"/>
        <v>-616991.90332409425</v>
      </c>
      <c r="S10" s="29">
        <f t="shared" si="2"/>
        <v>10270.387921057059</v>
      </c>
    </row>
    <row r="11" spans="1:19" x14ac:dyDescent="0.25">
      <c r="B11" t="s">
        <v>2</v>
      </c>
      <c r="C11">
        <v>0.03</v>
      </c>
      <c r="E11" t="s">
        <v>2</v>
      </c>
      <c r="F11">
        <v>0.05</v>
      </c>
      <c r="H11" t="s">
        <v>2</v>
      </c>
      <c r="I11">
        <v>0.02</v>
      </c>
      <c r="P11" s="27">
        <v>-6.0000000000000001E-3</v>
      </c>
      <c r="Q11" s="15">
        <f t="shared" si="0"/>
        <v>466709.54137815261</v>
      </c>
      <c r="R11" s="15">
        <f t="shared" si="1"/>
        <v>-460191.80341826595</v>
      </c>
      <c r="S11" s="29">
        <f t="shared" si="2"/>
        <v>6517.7379598866682</v>
      </c>
    </row>
    <row r="12" spans="1:19" x14ac:dyDescent="0.25">
      <c r="B12" t="s">
        <v>5</v>
      </c>
      <c r="C12">
        <f>(100*C11)/2</f>
        <v>1.5</v>
      </c>
      <c r="E12" t="s">
        <v>5</v>
      </c>
      <c r="F12">
        <f>(100*F11)/2</f>
        <v>2.5</v>
      </c>
      <c r="H12" t="s">
        <v>5</v>
      </c>
      <c r="I12">
        <f>(100*I11)/2</f>
        <v>1</v>
      </c>
      <c r="P12" s="27">
        <v>-4.0000000000000001E-3</v>
      </c>
      <c r="Q12" s="15">
        <f t="shared" si="0"/>
        <v>308648.24288162775</v>
      </c>
      <c r="R12" s="15">
        <f t="shared" si="1"/>
        <v>-305093.11956230755</v>
      </c>
      <c r="S12" s="29">
        <f t="shared" si="2"/>
        <v>3555.1233193202061</v>
      </c>
    </row>
    <row r="13" spans="1:19" x14ac:dyDescent="0.25">
      <c r="B13" t="s">
        <v>3</v>
      </c>
      <c r="C13" s="4">
        <v>3000000</v>
      </c>
      <c r="E13" t="s">
        <v>3</v>
      </c>
      <c r="F13" s="4">
        <v>7000000</v>
      </c>
      <c r="H13" t="s">
        <v>3</v>
      </c>
      <c r="I13" s="4">
        <v>4000000</v>
      </c>
      <c r="P13" s="27">
        <v>-2E-3</v>
      </c>
      <c r="Q13" s="15">
        <f t="shared" si="0"/>
        <v>153078.3957555769</v>
      </c>
      <c r="R13" s="15">
        <f t="shared" si="1"/>
        <v>-151695.85175621888</v>
      </c>
      <c r="S13" s="29">
        <f t="shared" si="2"/>
        <v>1382.5439993580221</v>
      </c>
    </row>
    <row r="14" spans="1:19" x14ac:dyDescent="0.25">
      <c r="B14" t="s">
        <v>4</v>
      </c>
      <c r="C14">
        <v>2</v>
      </c>
      <c r="E14" t="s">
        <v>4</v>
      </c>
      <c r="F14">
        <v>2</v>
      </c>
      <c r="H14" t="s">
        <v>4</v>
      </c>
      <c r="I14">
        <v>2</v>
      </c>
      <c r="P14" s="27">
        <v>0</v>
      </c>
      <c r="Q14" s="15">
        <f t="shared" si="0"/>
        <v>0</v>
      </c>
      <c r="R14" s="15">
        <f t="shared" si="1"/>
        <v>0</v>
      </c>
      <c r="S14" s="29">
        <f t="shared" si="2"/>
        <v>0</v>
      </c>
    </row>
    <row r="15" spans="1:19" x14ac:dyDescent="0.25">
      <c r="P15" s="27">
        <v>2E-3</v>
      </c>
      <c r="Q15" s="15">
        <f t="shared" si="0"/>
        <v>-150586.94438510295</v>
      </c>
      <c r="R15" s="15">
        <f t="shared" si="1"/>
        <v>149994.43570634912</v>
      </c>
      <c r="S15" s="29">
        <f t="shared" si="2"/>
        <v>-592.50867875383119</v>
      </c>
    </row>
    <row r="16" spans="1:19" x14ac:dyDescent="0.25">
      <c r="P16" s="27">
        <v>4.0000000000000001E-3</v>
      </c>
      <c r="Q16" s="15">
        <f t="shared" si="0"/>
        <v>-298682.43739973189</v>
      </c>
      <c r="R16" s="15">
        <f t="shared" si="1"/>
        <v>298287.45536282845</v>
      </c>
      <c r="S16" s="29">
        <f t="shared" si="2"/>
        <v>-394.98203690344235</v>
      </c>
    </row>
    <row r="17" spans="2:19" x14ac:dyDescent="0.25">
      <c r="B17" t="s">
        <v>0</v>
      </c>
      <c r="C17">
        <f>C9+0.001</f>
        <v>7.1000000000000008E-2</v>
      </c>
      <c r="D17" s="22">
        <f>(C20/(C17/C22))*(1-(1/(1+(C17/C22))^(C22*C18)))+(C21/(1+(C17/C22))^(C22*C18))</f>
        <v>2116521.9448444461</v>
      </c>
      <c r="E17" t="s">
        <v>0</v>
      </c>
      <c r="F17">
        <f>F9+0.001</f>
        <v>4.1000000000000002E-2</v>
      </c>
      <c r="G17" s="22">
        <f>(F20/(F17/F22))*(1-(1/(1+(F17/F22))^(F22*F18)))+(F21/(1+(F17/F22))^(F22*F18))</f>
        <v>4858108.5329614179</v>
      </c>
      <c r="H17" t="s">
        <v>0</v>
      </c>
      <c r="I17">
        <f>I9+0.001</f>
        <v>3.1E-2</v>
      </c>
      <c r="J17" s="22">
        <f>(I20/(I17/I22))*(1-(1/(1+(I17/I22))^(I22*I18)))+(I21/(1+(I17/I22))^(I22*I18))</f>
        <v>3225096.2927704053</v>
      </c>
      <c r="P17" s="27">
        <v>5.0000000000000001E-3</v>
      </c>
      <c r="Q17" s="15">
        <f>($M$3*P17+0.5*$N$3*P17^2)*$O$3</f>
        <v>-371795.88964311872</v>
      </c>
      <c r="R17" s="15">
        <f>(-$N$22*P17+0.5*$N$23*P17^2)*$N$9</f>
        <v>371795.93417236692</v>
      </c>
      <c r="S17" s="29">
        <f t="shared" si="2"/>
        <v>4.4529248203616589E-2</v>
      </c>
    </row>
    <row r="18" spans="2:19" x14ac:dyDescent="0.25">
      <c r="B18" t="s">
        <v>1</v>
      </c>
      <c r="C18">
        <f>C10</f>
        <v>5</v>
      </c>
      <c r="E18" t="s">
        <v>1</v>
      </c>
      <c r="F18">
        <f>F10</f>
        <v>9</v>
      </c>
      <c r="H18" t="s">
        <v>1</v>
      </c>
      <c r="I18">
        <f>I10</f>
        <v>7</v>
      </c>
      <c r="P18" s="27">
        <v>6.0000000000000001E-3</v>
      </c>
      <c r="Q18" s="15">
        <f t="shared" ref="Q18:Q20" si="3">($M$3*P18+0.5*$N$3*P18^2)*$O$3</f>
        <v>-444286.479043887</v>
      </c>
      <c r="R18" s="15">
        <f t="shared" ref="R18:R20" si="4">(-$N$22*P18+0.5*$N$23*P18^2)*$N$9</f>
        <v>444879.0589694379</v>
      </c>
      <c r="S18" s="29">
        <f t="shared" si="2"/>
        <v>592.57992555090459</v>
      </c>
    </row>
    <row r="19" spans="2:19" x14ac:dyDescent="0.25">
      <c r="B19" t="s">
        <v>2</v>
      </c>
      <c r="C19">
        <f t="shared" ref="C19:C22" si="5">C11</f>
        <v>0.03</v>
      </c>
      <c r="E19" t="s">
        <v>2</v>
      </c>
      <c r="F19">
        <f t="shared" ref="F19:F22" si="6">F11</f>
        <v>0.05</v>
      </c>
      <c r="H19" t="s">
        <v>2</v>
      </c>
      <c r="I19">
        <f t="shared" ref="I19:I22" si="7">I11</f>
        <v>0.02</v>
      </c>
      <c r="P19" s="27">
        <v>8.0000000000000002E-3</v>
      </c>
      <c r="Q19" s="15">
        <f t="shared" si="3"/>
        <v>-587399.06931756809</v>
      </c>
      <c r="R19" s="15">
        <f t="shared" si="4"/>
        <v>589769.24652617774</v>
      </c>
      <c r="S19" s="29">
        <f t="shared" si="2"/>
        <v>2370.1772086096462</v>
      </c>
    </row>
    <row r="20" spans="2:19" x14ac:dyDescent="0.25">
      <c r="B20" t="s">
        <v>5</v>
      </c>
      <c r="C20">
        <f t="shared" si="5"/>
        <v>1.5</v>
      </c>
      <c r="E20" t="s">
        <v>5</v>
      </c>
      <c r="F20">
        <f t="shared" si="6"/>
        <v>2.5</v>
      </c>
      <c r="H20" t="s">
        <v>5</v>
      </c>
      <c r="I20">
        <f t="shared" si="7"/>
        <v>1</v>
      </c>
      <c r="P20" s="28">
        <v>0.01</v>
      </c>
      <c r="Q20" s="30">
        <f t="shared" si="3"/>
        <v>-728020.20822077524</v>
      </c>
      <c r="R20" s="30">
        <f t="shared" si="4"/>
        <v>732958.01803304767</v>
      </c>
      <c r="S20" s="31">
        <f t="shared" ref="S20" si="8">SUM(Q20:R20)</f>
        <v>4937.8098122724332</v>
      </c>
    </row>
    <row r="21" spans="2:19" x14ac:dyDescent="0.25">
      <c r="B21" t="s">
        <v>3</v>
      </c>
      <c r="C21" s="4">
        <f t="shared" si="5"/>
        <v>3000000</v>
      </c>
      <c r="E21" t="s">
        <v>3</v>
      </c>
      <c r="F21" s="4">
        <f t="shared" si="6"/>
        <v>7000000</v>
      </c>
      <c r="H21" t="s">
        <v>3</v>
      </c>
      <c r="I21" s="4">
        <f t="shared" si="7"/>
        <v>4000000</v>
      </c>
    </row>
    <row r="22" spans="2:19" x14ac:dyDescent="0.25">
      <c r="B22" t="s">
        <v>4</v>
      </c>
      <c r="C22">
        <f t="shared" si="5"/>
        <v>2</v>
      </c>
      <c r="E22" t="s">
        <v>4</v>
      </c>
      <c r="F22">
        <f t="shared" si="6"/>
        <v>2</v>
      </c>
      <c r="H22" t="s">
        <v>4</v>
      </c>
      <c r="I22">
        <f t="shared" si="7"/>
        <v>2</v>
      </c>
      <c r="N22">
        <v>4.6900000000000004</v>
      </c>
    </row>
    <row r="23" spans="2:19" x14ac:dyDescent="0.25">
      <c r="N23" s="1">
        <f>(5^2+5)/(1.065)^2</f>
        <v>26.449778483105209</v>
      </c>
    </row>
    <row r="24" spans="2:19" x14ac:dyDescent="0.25">
      <c r="N24" s="15">
        <f>-N9*(1.065)^5</f>
        <v>22033147.086060252</v>
      </c>
    </row>
    <row r="25" spans="2:19" x14ac:dyDescent="0.25">
      <c r="B25" t="s">
        <v>0</v>
      </c>
      <c r="C25">
        <f>C9-0.001</f>
        <v>6.9000000000000006E-2</v>
      </c>
      <c r="D25" s="22">
        <f>(C28/(C25/C30))*(1-(1/(1+(C25/C30))^(C30*C26)))+(C29/(1+(C25/C30))^(C30*C26))</f>
        <v>2137070.4846361969</v>
      </c>
      <c r="E25" t="s">
        <v>0</v>
      </c>
      <c r="F25">
        <f>F9-0.001</f>
        <v>3.9E-2</v>
      </c>
      <c r="G25" s="22">
        <f>(F28/(F25/F30))*(1-(1/(1+(F25/F30))^(F30*F26)))+(F29/(1+(F25/F30))^(F30*F26))</f>
        <v>4944600.4544898514</v>
      </c>
      <c r="H25" t="s">
        <v>0</v>
      </c>
      <c r="I25">
        <f>I9-0.001</f>
        <v>2.8999999999999998E-2</v>
      </c>
      <c r="J25" s="22">
        <f>(I28/(I25/I30))*(1-(1/(1+(I25/I30))^(I30*I26)))+(I29/(1+(I25/I30))^(I30*I26))</f>
        <v>3269888.5015205611</v>
      </c>
    </row>
    <row r="26" spans="2:19" x14ac:dyDescent="0.25">
      <c r="B26" t="s">
        <v>1</v>
      </c>
      <c r="C26">
        <f>C10</f>
        <v>5</v>
      </c>
      <c r="E26" t="s">
        <v>1</v>
      </c>
      <c r="F26">
        <f>F10</f>
        <v>9</v>
      </c>
      <c r="H26" t="s">
        <v>1</v>
      </c>
      <c r="I26">
        <f>I10</f>
        <v>7</v>
      </c>
    </row>
    <row r="27" spans="2:19" x14ac:dyDescent="0.25">
      <c r="B27" t="s">
        <v>2</v>
      </c>
      <c r="C27">
        <f t="shared" ref="C27:C30" si="9">C11</f>
        <v>0.03</v>
      </c>
      <c r="E27" t="s">
        <v>2</v>
      </c>
      <c r="F27">
        <f t="shared" ref="F27:F30" si="10">F11</f>
        <v>0.05</v>
      </c>
      <c r="H27" t="s">
        <v>2</v>
      </c>
      <c r="I27">
        <f t="shared" ref="I27:I30" si="11">I11</f>
        <v>0.02</v>
      </c>
    </row>
    <row r="28" spans="2:19" x14ac:dyDescent="0.25">
      <c r="B28" t="s">
        <v>5</v>
      </c>
      <c r="C28">
        <f t="shared" si="9"/>
        <v>1.5</v>
      </c>
      <c r="E28" t="s">
        <v>5</v>
      </c>
      <c r="F28">
        <f t="shared" si="10"/>
        <v>2.5</v>
      </c>
      <c r="H28" t="s">
        <v>5</v>
      </c>
      <c r="I28">
        <f t="shared" si="11"/>
        <v>1</v>
      </c>
    </row>
    <row r="29" spans="2:19" x14ac:dyDescent="0.25">
      <c r="B29" t="s">
        <v>3</v>
      </c>
      <c r="C29" s="4">
        <f t="shared" si="9"/>
        <v>3000000</v>
      </c>
      <c r="E29" t="s">
        <v>3</v>
      </c>
      <c r="F29" s="4">
        <f t="shared" si="10"/>
        <v>7000000</v>
      </c>
      <c r="H29" t="s">
        <v>3</v>
      </c>
      <c r="I29" s="4">
        <f t="shared" si="11"/>
        <v>4000000</v>
      </c>
    </row>
    <row r="30" spans="2:19" x14ac:dyDescent="0.25">
      <c r="B30" t="s">
        <v>4</v>
      </c>
      <c r="C30">
        <f t="shared" si="9"/>
        <v>2</v>
      </c>
      <c r="E30" t="s">
        <v>4</v>
      </c>
      <c r="F30">
        <f t="shared" si="10"/>
        <v>2</v>
      </c>
      <c r="H30" t="s">
        <v>4</v>
      </c>
      <c r="I30">
        <f t="shared" si="11"/>
        <v>2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C732BD-6591-4D01-B5CC-80A36725086B}">
  <dimension ref="A2:S30"/>
  <sheetViews>
    <sheetView tabSelected="1" topLeftCell="A21" zoomScale="70" zoomScaleNormal="70" workbookViewId="0">
      <selection activeCell="N9" sqref="N9"/>
    </sheetView>
  </sheetViews>
  <sheetFormatPr defaultRowHeight="15" x14ac:dyDescent="0.25"/>
  <cols>
    <col min="1" max="1" width="2.85546875" bestFit="1" customWidth="1"/>
    <col min="2" max="2" width="8.7109375" bestFit="1" customWidth="1"/>
    <col min="3" max="3" width="12.42578125" bestFit="1" customWidth="1"/>
    <col min="4" max="4" width="15" bestFit="1" customWidth="1"/>
    <col min="5" max="5" width="21" bestFit="1" customWidth="1"/>
    <col min="6" max="6" width="12.42578125" customWidth="1"/>
    <col min="7" max="7" width="16.42578125" bestFit="1" customWidth="1"/>
    <col min="8" max="8" width="13.28515625" bestFit="1" customWidth="1"/>
    <col min="9" max="9" width="12.42578125" bestFit="1" customWidth="1"/>
    <col min="10" max="10" width="15.42578125" bestFit="1" customWidth="1"/>
    <col min="13" max="13" width="12.5703125" bestFit="1" customWidth="1"/>
    <col min="14" max="14" width="18.85546875" bestFit="1" customWidth="1"/>
    <col min="15" max="15" width="13.5703125" bestFit="1" customWidth="1"/>
    <col min="17" max="17" width="19.7109375" bestFit="1" customWidth="1"/>
    <col min="18" max="18" width="15.28515625" bestFit="1" customWidth="1"/>
    <col min="19" max="19" width="16.5703125" bestFit="1" customWidth="1"/>
  </cols>
  <sheetData>
    <row r="2" spans="1:19" x14ac:dyDescent="0.25">
      <c r="B2" s="18" t="s">
        <v>9</v>
      </c>
      <c r="C2" s="19" t="s">
        <v>10</v>
      </c>
      <c r="D2" s="19" t="s">
        <v>17</v>
      </c>
      <c r="E2" s="20" t="s">
        <v>12</v>
      </c>
      <c r="F2" s="10"/>
      <c r="M2" t="s">
        <v>23</v>
      </c>
      <c r="N2" t="s">
        <v>24</v>
      </c>
      <c r="O2" t="s">
        <v>26</v>
      </c>
    </row>
    <row r="3" spans="1:19" x14ac:dyDescent="0.25">
      <c r="A3" s="10" t="s">
        <v>18</v>
      </c>
      <c r="B3" s="9">
        <v>5</v>
      </c>
      <c r="C3" s="10">
        <v>0.06</v>
      </c>
      <c r="D3" s="36">
        <f>C3-$S$3</f>
        <v>1.4035558790756048E-2</v>
      </c>
      <c r="E3" s="16">
        <v>8000000</v>
      </c>
      <c r="F3" s="21" t="s">
        <v>18</v>
      </c>
      <c r="G3" s="5" t="s">
        <v>6</v>
      </c>
      <c r="H3" s="1">
        <f>((D17-D25)/0.002)*(1/D9)</f>
        <v>-4.4301247340679648</v>
      </c>
      <c r="I3" t="s">
        <v>21</v>
      </c>
      <c r="J3" s="1">
        <f>(1/D9)*((D17+D25-2*D9)/0.001^2)</f>
        <v>23.230780201455584</v>
      </c>
      <c r="K3" t="s">
        <v>22</v>
      </c>
      <c r="L3">
        <f>D9/(D9+G9+J9)</f>
        <v>0.36494023912985524</v>
      </c>
      <c r="M3" s="1">
        <f>L3*H3+L4*H4+L5*H5</f>
        <v>-5.7823022660829562</v>
      </c>
      <c r="N3" s="1">
        <f>L3*J3+L4*J4+L5*J5</f>
        <v>41.735662055906637</v>
      </c>
      <c r="O3" s="22">
        <f>D9+G9+J9</f>
        <v>26770301.225666679</v>
      </c>
      <c r="Q3" s="22">
        <f>C3*E3</f>
        <v>480000</v>
      </c>
      <c r="S3">
        <v>4.596444120924395E-2</v>
      </c>
    </row>
    <row r="4" spans="1:19" x14ac:dyDescent="0.25">
      <c r="A4" s="10" t="s">
        <v>19</v>
      </c>
      <c r="B4" s="9">
        <v>9</v>
      </c>
      <c r="C4" s="10">
        <v>7.0000000000000007E-2</v>
      </c>
      <c r="D4" s="36">
        <f t="shared" ref="D4:D5" si="0">C4-$S$3</f>
        <v>2.4035558790756056E-2</v>
      </c>
      <c r="E4" s="16">
        <v>7000000</v>
      </c>
      <c r="F4" s="21" t="s">
        <v>19</v>
      </c>
      <c r="G4" s="5" t="s">
        <v>6</v>
      </c>
      <c r="H4" s="1">
        <f>((G17-G25)/0.002)*(1/G9)</f>
        <v>-7.1006410529511772</v>
      </c>
      <c r="I4" t="s">
        <v>21</v>
      </c>
      <c r="J4" s="1">
        <f>(1/G9)*((G17+G25-2*G9)/0.001^2)</f>
        <v>61.221685398657002</v>
      </c>
      <c r="K4" t="s">
        <v>22</v>
      </c>
      <c r="L4">
        <f>G9/(D9+G9+J9)</f>
        <v>0.35823485522729237</v>
      </c>
      <c r="Q4" s="22">
        <f t="shared" ref="Q4:Q5" si="1">C4*E4</f>
        <v>490000.00000000006</v>
      </c>
    </row>
    <row r="5" spans="1:19" x14ac:dyDescent="0.25">
      <c r="A5" s="10" t="s">
        <v>20</v>
      </c>
      <c r="B5" s="12">
        <v>7</v>
      </c>
      <c r="C5" s="13">
        <v>6.5000000000000002E-2</v>
      </c>
      <c r="D5" s="37">
        <f t="shared" si="0"/>
        <v>1.9035558790756052E-2</v>
      </c>
      <c r="E5" s="17">
        <v>5700950.0831732592</v>
      </c>
      <c r="F5" s="21" t="s">
        <v>20</v>
      </c>
      <c r="G5" s="5" t="s">
        <v>6</v>
      </c>
      <c r="H5" s="1">
        <f>((J17-J25)/0.002)*(1/J9)</f>
        <v>-5.8588455502795158</v>
      </c>
      <c r="I5" t="s">
        <v>21</v>
      </c>
      <c r="J5" s="1">
        <f>(1/J9)*((J17+J25-2*J9)/0.001^2)</f>
        <v>40.914215945107252</v>
      </c>
      <c r="K5" t="s">
        <v>22</v>
      </c>
      <c r="L5">
        <f>J9/(D9+G9+J9)</f>
        <v>0.27682490564285239</v>
      </c>
      <c r="Q5" s="22">
        <f t="shared" si="1"/>
        <v>370561.75540626183</v>
      </c>
    </row>
    <row r="6" spans="1:19" x14ac:dyDescent="0.25">
      <c r="L6">
        <f>SUM(L3:L5)</f>
        <v>1</v>
      </c>
      <c r="Q6" s="22">
        <f>SUM(Q3:Q5)</f>
        <v>1340561.7554062619</v>
      </c>
    </row>
    <row r="8" spans="1:19" ht="18.75" x14ac:dyDescent="0.3">
      <c r="B8" t="s">
        <v>18</v>
      </c>
      <c r="E8" t="s">
        <v>19</v>
      </c>
      <c r="H8" t="s">
        <v>20</v>
      </c>
      <c r="M8" s="23" t="s">
        <v>25</v>
      </c>
      <c r="N8" s="15">
        <f>(M3*0.005+0.5*N3*(0.005)^2)*O3</f>
        <v>-760003.91414086323</v>
      </c>
      <c r="P8" s="24" t="s">
        <v>27</v>
      </c>
      <c r="Q8" s="25" t="s">
        <v>28</v>
      </c>
      <c r="R8" s="25" t="s">
        <v>29</v>
      </c>
      <c r="S8" s="26" t="s">
        <v>30</v>
      </c>
    </row>
    <row r="9" spans="1:19" x14ac:dyDescent="0.25">
      <c r="B9" t="s">
        <v>0</v>
      </c>
      <c r="C9">
        <f>D3</f>
        <v>1.4035558790756048E-2</v>
      </c>
      <c r="D9" s="3">
        <f>(C12/(C9/C14))*(1-(1/(1+(C9/C14))^(C14*C10)))+(C13/(1+(C9/C14))^(C14*C10))</f>
        <v>9769560.1308730543</v>
      </c>
      <c r="E9" t="s">
        <v>0</v>
      </c>
      <c r="F9">
        <f>D4</f>
        <v>2.4035558790756056E-2</v>
      </c>
      <c r="G9" s="3">
        <f>(F12/(F9/F14))*(1-(1/(1+(F9/F14))^(F14*F10)))+(F13/(1+(F9/F14))^(F14*F10))</f>
        <v>9590054.9839677103</v>
      </c>
      <c r="H9" t="s">
        <v>0</v>
      </c>
      <c r="I9">
        <f>D5</f>
        <v>1.9035558790756052E-2</v>
      </c>
      <c r="J9" s="3">
        <f>(I12/(I9/I14))*(1-(1/(1+(I9/I14))^(I14*I10)))+(I13/(1+(I9/I14))^(I14*I10))</f>
        <v>7410686.1108259149</v>
      </c>
      <c r="M9" t="s">
        <v>19</v>
      </c>
      <c r="N9" s="15">
        <f>-N8/(-4.69*0.005+0.5*26.45*0.005^2)</f>
        <v>-32873030.267507803</v>
      </c>
      <c r="P9" s="32">
        <v>-0.01</v>
      </c>
      <c r="Q9" s="33">
        <f t="shared" ref="Q9:Q16" si="2">($M$3*P9+0.5*$N$3*P9^2)*$O$3</f>
        <v>1603803.54666342</v>
      </c>
      <c r="R9" s="33">
        <f t="shared" ref="R9:R16" si="3">(-$N$22*P9+0.5*$N$23*P9^2)*$N$9</f>
        <v>-1585219.3379783158</v>
      </c>
      <c r="S9" s="34">
        <f t="shared" ref="S9:S20" si="4">SUM(Q9:R9)</f>
        <v>18584.20868510427</v>
      </c>
    </row>
    <row r="10" spans="1:19" x14ac:dyDescent="0.25">
      <c r="B10" t="s">
        <v>1</v>
      </c>
      <c r="C10">
        <f>B3</f>
        <v>5</v>
      </c>
      <c r="D10" s="3"/>
      <c r="E10" t="s">
        <v>1</v>
      </c>
      <c r="F10">
        <f>B4</f>
        <v>9</v>
      </c>
      <c r="H10" t="s">
        <v>1</v>
      </c>
      <c r="I10">
        <f>B5</f>
        <v>7</v>
      </c>
      <c r="P10" s="27">
        <v>-8.0000000000000002E-3</v>
      </c>
      <c r="Q10" s="15">
        <f t="shared" si="2"/>
        <v>1274104.6273700222</v>
      </c>
      <c r="R10" s="15">
        <f t="shared" si="3"/>
        <v>-1261219.5954335008</v>
      </c>
      <c r="S10" s="29">
        <f t="shared" si="4"/>
        <v>12885.031936521409</v>
      </c>
    </row>
    <row r="11" spans="1:19" x14ac:dyDescent="0.25">
      <c r="B11" t="s">
        <v>2</v>
      </c>
      <c r="C11">
        <f>C3</f>
        <v>0.06</v>
      </c>
      <c r="E11" t="s">
        <v>2</v>
      </c>
      <c r="F11">
        <f>C4</f>
        <v>7.0000000000000007E-2</v>
      </c>
      <c r="H11" t="s">
        <v>2</v>
      </c>
      <c r="I11">
        <f>C5</f>
        <v>6.5000000000000002E-2</v>
      </c>
      <c r="P11" s="27">
        <v>-6.0000000000000001E-3</v>
      </c>
      <c r="Q11" s="15">
        <f t="shared" si="2"/>
        <v>948874.81305698107</v>
      </c>
      <c r="R11" s="15">
        <f t="shared" si="3"/>
        <v>-940697.79036326159</v>
      </c>
      <c r="S11" s="29">
        <f t="shared" si="4"/>
        <v>8177.022693719482</v>
      </c>
    </row>
    <row r="12" spans="1:19" x14ac:dyDescent="0.25">
      <c r="B12" t="s">
        <v>5</v>
      </c>
      <c r="C12" s="22">
        <f>(C13*C11)/2</f>
        <v>240000</v>
      </c>
      <c r="E12" t="s">
        <v>5</v>
      </c>
      <c r="F12" s="22">
        <f>(F13*F11)/2</f>
        <v>245000.00000000003</v>
      </c>
      <c r="H12" t="s">
        <v>5</v>
      </c>
      <c r="I12" s="22">
        <f>(I13*I11)/2</f>
        <v>185280.87770313091</v>
      </c>
      <c r="P12" s="27">
        <v>-4.0000000000000001E-3</v>
      </c>
      <c r="Q12" s="15">
        <f t="shared" si="2"/>
        <v>628114.10372429714</v>
      </c>
      <c r="R12" s="15">
        <f t="shared" si="3"/>
        <v>-623653.92276759841</v>
      </c>
      <c r="S12" s="29">
        <f t="shared" si="4"/>
        <v>4460.1809566987213</v>
      </c>
    </row>
    <row r="13" spans="1:19" x14ac:dyDescent="0.25">
      <c r="B13" t="s">
        <v>3</v>
      </c>
      <c r="C13" s="4">
        <f>E3</f>
        <v>8000000</v>
      </c>
      <c r="E13" t="s">
        <v>3</v>
      </c>
      <c r="F13" s="4">
        <f>E4</f>
        <v>7000000</v>
      </c>
      <c r="H13" t="s">
        <v>3</v>
      </c>
      <c r="I13" s="4">
        <f>E5</f>
        <v>5700950.0831732592</v>
      </c>
      <c r="P13" s="27">
        <v>-2E-3</v>
      </c>
      <c r="Q13" s="15">
        <f t="shared" si="2"/>
        <v>311822.49937197007</v>
      </c>
      <c r="R13" s="15">
        <f t="shared" si="3"/>
        <v>-310087.99264651118</v>
      </c>
      <c r="S13" s="29">
        <f t="shared" si="4"/>
        <v>1734.5067254588939</v>
      </c>
    </row>
    <row r="14" spans="1:19" x14ac:dyDescent="0.25">
      <c r="B14" t="s">
        <v>4</v>
      </c>
      <c r="C14">
        <v>2</v>
      </c>
      <c r="E14" t="s">
        <v>4</v>
      </c>
      <c r="F14">
        <v>2</v>
      </c>
      <c r="H14" t="s">
        <v>4</v>
      </c>
      <c r="I14">
        <v>2</v>
      </c>
      <c r="P14" s="27">
        <v>0</v>
      </c>
      <c r="Q14" s="15">
        <f t="shared" si="2"/>
        <v>0</v>
      </c>
      <c r="R14" s="15">
        <f t="shared" si="3"/>
        <v>0</v>
      </c>
      <c r="S14" s="29">
        <f t="shared" si="4"/>
        <v>0</v>
      </c>
    </row>
    <row r="15" spans="1:19" x14ac:dyDescent="0.25">
      <c r="P15" s="27">
        <v>2E-3</v>
      </c>
      <c r="Q15" s="15">
        <f t="shared" si="2"/>
        <v>-307353.39439161308</v>
      </c>
      <c r="R15" s="15">
        <f t="shared" si="3"/>
        <v>306610.0551719353</v>
      </c>
      <c r="S15" s="29">
        <f t="shared" si="4"/>
        <v>-743.33921967778588</v>
      </c>
    </row>
    <row r="16" spans="1:19" x14ac:dyDescent="0.25">
      <c r="P16" s="27">
        <v>4.0000000000000001E-3</v>
      </c>
      <c r="Q16" s="15">
        <f t="shared" si="2"/>
        <v>-610237.68380286917</v>
      </c>
      <c r="R16" s="15">
        <f t="shared" si="3"/>
        <v>609742.17286929453</v>
      </c>
      <c r="S16" s="29">
        <f t="shared" si="4"/>
        <v>-495.51093357463833</v>
      </c>
    </row>
    <row r="17" spans="2:19" x14ac:dyDescent="0.25">
      <c r="B17" t="s">
        <v>0</v>
      </c>
      <c r="C17">
        <f>C9+0.001</f>
        <v>1.5035558790756048E-2</v>
      </c>
      <c r="D17" s="3">
        <f>(C20/(C17/C22))*(1-(1/(1+(C17/C22))^(C22*C18)))+(C21/(1+(C17/C22))^(C22*C18))</f>
        <v>9726393.2381483428</v>
      </c>
      <c r="E17" t="s">
        <v>0</v>
      </c>
      <c r="F17">
        <f>F9+0.001</f>
        <v>2.5035558790756057E-2</v>
      </c>
      <c r="G17" s="3">
        <f>(F20/(F17/F22))*(1-(1/(1+(F17/F22))^(F22*F18)))+(F21/(1+(F17/F22))^(F22*F18))</f>
        <v>9522253.0055130813</v>
      </c>
      <c r="H17" t="s">
        <v>0</v>
      </c>
      <c r="I17">
        <f>I9+0.001</f>
        <v>2.0035558790756053E-2</v>
      </c>
      <c r="J17" s="3">
        <f>(I20/(I17/I22))*(1-(1/(1+(I17/I22))^(I22*I18)))+(I21/(1+(I17/I22))^(I22*I18))</f>
        <v>7367419.6466869041</v>
      </c>
      <c r="P17" s="27">
        <v>5.0000000000000001E-3</v>
      </c>
      <c r="Q17" s="15">
        <f>($M$3*P17+0.5*$N$3*P17^2)*$O$3</f>
        <v>-760003.91414086323</v>
      </c>
      <c r="R17" s="15">
        <f>(-$N$22*P17+0.5*$N$23*P17^2)*$N$9</f>
        <v>760004.00516500813</v>
      </c>
      <c r="S17" s="29">
        <f t="shared" si="4"/>
        <v>9.1024144901894033E-2</v>
      </c>
    </row>
    <row r="18" spans="2:19" x14ac:dyDescent="0.25">
      <c r="B18" t="s">
        <v>1</v>
      </c>
      <c r="C18">
        <f>C10</f>
        <v>5</v>
      </c>
      <c r="E18" t="s">
        <v>1</v>
      </c>
      <c r="F18">
        <f>F10</f>
        <v>9</v>
      </c>
      <c r="H18" t="s">
        <v>1</v>
      </c>
      <c r="I18">
        <f>I10</f>
        <v>7</v>
      </c>
      <c r="P18" s="27">
        <v>6.0000000000000001E-3</v>
      </c>
      <c r="Q18" s="15">
        <f t="shared" ref="Q18:Q20" si="5">($M$3*P18+0.5*$N$3*P18^2)*$O$3</f>
        <v>-908652.86823376827</v>
      </c>
      <c r="R18" s="15">
        <f t="shared" ref="R18:R20" si="6">(-$N$22*P18+0.5*$N$23*P18^2)*$N$9</f>
        <v>909396.35309207765</v>
      </c>
      <c r="S18" s="29">
        <f t="shared" si="4"/>
        <v>743.48485830938444</v>
      </c>
    </row>
    <row r="19" spans="2:19" x14ac:dyDescent="0.25">
      <c r="B19" t="s">
        <v>2</v>
      </c>
      <c r="C19">
        <f t="shared" ref="C19:C22" si="7">C11</f>
        <v>0.06</v>
      </c>
      <c r="E19" t="s">
        <v>2</v>
      </c>
      <c r="F19">
        <f t="shared" ref="F19:F22" si="8">F11</f>
        <v>7.0000000000000007E-2</v>
      </c>
      <c r="H19" t="s">
        <v>2</v>
      </c>
      <c r="I19">
        <f t="shared" ref="I19:I22" si="9">I11</f>
        <v>6.5000000000000002E-2</v>
      </c>
      <c r="P19" s="27">
        <v>8.0000000000000002E-3</v>
      </c>
      <c r="Q19" s="15">
        <f t="shared" si="5"/>
        <v>-1202598.9476843104</v>
      </c>
      <c r="R19" s="15">
        <f t="shared" si="6"/>
        <v>1205572.5958402851</v>
      </c>
      <c r="S19" s="29">
        <f t="shared" si="4"/>
        <v>2973.6481559746899</v>
      </c>
    </row>
    <row r="20" spans="2:19" x14ac:dyDescent="0.25">
      <c r="B20" t="s">
        <v>5</v>
      </c>
      <c r="C20">
        <f t="shared" si="7"/>
        <v>240000</v>
      </c>
      <c r="E20" t="s">
        <v>5</v>
      </c>
      <c r="F20">
        <f t="shared" si="8"/>
        <v>245000.00000000003</v>
      </c>
      <c r="H20" t="s">
        <v>5</v>
      </c>
      <c r="I20">
        <f t="shared" si="9"/>
        <v>185280.87770313091</v>
      </c>
      <c r="P20" s="28">
        <v>0.01</v>
      </c>
      <c r="Q20" s="30">
        <f t="shared" si="5"/>
        <v>-1492075.9221544955</v>
      </c>
      <c r="R20" s="30">
        <f t="shared" si="6"/>
        <v>1498270.9011139162</v>
      </c>
      <c r="S20" s="31">
        <f t="shared" si="4"/>
        <v>6194.9789594206959</v>
      </c>
    </row>
    <row r="21" spans="2:19" x14ac:dyDescent="0.25">
      <c r="B21" t="s">
        <v>3</v>
      </c>
      <c r="C21" s="4">
        <f t="shared" si="7"/>
        <v>8000000</v>
      </c>
      <c r="E21" t="s">
        <v>3</v>
      </c>
      <c r="F21" s="4">
        <f t="shared" si="8"/>
        <v>7000000</v>
      </c>
      <c r="H21" t="s">
        <v>3</v>
      </c>
      <c r="I21" s="4">
        <f t="shared" si="9"/>
        <v>5700950.0831732592</v>
      </c>
    </row>
    <row r="22" spans="2:19" x14ac:dyDescent="0.25">
      <c r="B22" t="s">
        <v>4</v>
      </c>
      <c r="C22">
        <f t="shared" si="7"/>
        <v>2</v>
      </c>
      <c r="E22" t="s">
        <v>4</v>
      </c>
      <c r="F22">
        <f t="shared" si="8"/>
        <v>2</v>
      </c>
      <c r="H22" t="s">
        <v>4</v>
      </c>
      <c r="I22">
        <f t="shared" si="9"/>
        <v>2</v>
      </c>
      <c r="N22">
        <v>4.6900000000000004</v>
      </c>
    </row>
    <row r="23" spans="2:19" x14ac:dyDescent="0.25">
      <c r="N23" s="1">
        <f>(5^2+5)/(1.065)^2</f>
        <v>26.449778483105209</v>
      </c>
    </row>
    <row r="24" spans="2:19" x14ac:dyDescent="0.25">
      <c r="N24" s="15">
        <f>-N9*(1.065)^5</f>
        <v>45038900.355570599</v>
      </c>
    </row>
    <row r="25" spans="2:19" x14ac:dyDescent="0.25">
      <c r="B25" t="s">
        <v>0</v>
      </c>
      <c r="C25">
        <f>C9-0.001</f>
        <v>1.3035558790756047E-2</v>
      </c>
      <c r="D25" s="3">
        <f>(C28/(C25/C30))*(1-(1/(1+(C25/C30))^(C30*C26)))+(C29/(1+(C25/C30))^(C30*C26))</f>
        <v>9812953.9781018328</v>
      </c>
      <c r="E25" t="s">
        <v>0</v>
      </c>
      <c r="F25">
        <f>F9-0.001</f>
        <v>2.3035558790756056E-2</v>
      </c>
      <c r="G25" s="3">
        <f>(F28/(F25/F30))*(1-(1/(1+(F25/F30))^(F30*F26)))+(F29/(1+(F25/F30))^(F30*F26))</f>
        <v>9658444.0817515217</v>
      </c>
      <c r="H25" t="s">
        <v>0</v>
      </c>
      <c r="I25">
        <f>I9-0.001</f>
        <v>1.8035558790756051E-2</v>
      </c>
      <c r="J25" s="3">
        <f>(I28/(I25/I30))*(1-(1/(1+(I25/I30))^(I30*I26)))+(I29/(1+(I25/I30))^(I30*I26))</f>
        <v>7454255.7773767654</v>
      </c>
    </row>
    <row r="26" spans="2:19" x14ac:dyDescent="0.25">
      <c r="B26" t="s">
        <v>1</v>
      </c>
      <c r="C26">
        <f>C10</f>
        <v>5</v>
      </c>
      <c r="E26" t="s">
        <v>1</v>
      </c>
      <c r="F26">
        <f>F10</f>
        <v>9</v>
      </c>
      <c r="H26" t="s">
        <v>1</v>
      </c>
      <c r="I26">
        <f>I10</f>
        <v>7</v>
      </c>
    </row>
    <row r="27" spans="2:19" x14ac:dyDescent="0.25">
      <c r="B27" t="s">
        <v>2</v>
      </c>
      <c r="C27">
        <f t="shared" ref="C27:C30" si="10">C11</f>
        <v>0.06</v>
      </c>
      <c r="E27" t="s">
        <v>2</v>
      </c>
      <c r="F27">
        <f t="shared" ref="F27:F30" si="11">F11</f>
        <v>7.0000000000000007E-2</v>
      </c>
      <c r="H27" t="s">
        <v>2</v>
      </c>
      <c r="I27">
        <f t="shared" ref="I27:I30" si="12">I11</f>
        <v>6.5000000000000002E-2</v>
      </c>
    </row>
    <row r="28" spans="2:19" x14ac:dyDescent="0.25">
      <c r="B28" t="s">
        <v>5</v>
      </c>
      <c r="C28">
        <f t="shared" si="10"/>
        <v>240000</v>
      </c>
      <c r="E28" t="s">
        <v>5</v>
      </c>
      <c r="F28">
        <f t="shared" si="11"/>
        <v>245000.00000000003</v>
      </c>
      <c r="H28" t="s">
        <v>5</v>
      </c>
      <c r="I28">
        <f t="shared" si="12"/>
        <v>185280.87770313091</v>
      </c>
    </row>
    <row r="29" spans="2:19" x14ac:dyDescent="0.25">
      <c r="B29" t="s">
        <v>3</v>
      </c>
      <c r="C29" s="4">
        <f t="shared" si="10"/>
        <v>8000000</v>
      </c>
      <c r="E29" t="s">
        <v>3</v>
      </c>
      <c r="F29" s="4">
        <f t="shared" si="11"/>
        <v>7000000</v>
      </c>
      <c r="H29" t="s">
        <v>3</v>
      </c>
      <c r="I29" s="4">
        <f t="shared" si="12"/>
        <v>5700950.0831732592</v>
      </c>
    </row>
    <row r="30" spans="2:19" x14ac:dyDescent="0.25">
      <c r="B30" t="s">
        <v>4</v>
      </c>
      <c r="C30">
        <f t="shared" si="10"/>
        <v>2</v>
      </c>
      <c r="E30" t="s">
        <v>4</v>
      </c>
      <c r="F30">
        <f t="shared" si="11"/>
        <v>2</v>
      </c>
      <c r="H30" t="s">
        <v>4</v>
      </c>
      <c r="I30">
        <f t="shared" si="12"/>
        <v>2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79C9D9-7F3B-4844-BE43-0AC4402257F9}">
  <dimension ref="F5:N15"/>
  <sheetViews>
    <sheetView topLeftCell="A4" workbookViewId="0">
      <selection activeCell="N15" sqref="N15"/>
    </sheetView>
  </sheetViews>
  <sheetFormatPr defaultRowHeight="15" x14ac:dyDescent="0.25"/>
  <cols>
    <col min="6" max="6" width="15" bestFit="1" customWidth="1"/>
    <col min="7" max="10" width="13.28515625" bestFit="1" customWidth="1"/>
    <col min="11" max="11" width="15" bestFit="1" customWidth="1"/>
    <col min="14" max="14" width="15.28515625" bestFit="1" customWidth="1"/>
  </cols>
  <sheetData>
    <row r="5" spans="6:14" x14ac:dyDescent="0.25">
      <c r="F5">
        <v>0</v>
      </c>
      <c r="G5">
        <v>1</v>
      </c>
      <c r="H5">
        <v>2</v>
      </c>
      <c r="I5">
        <v>3</v>
      </c>
      <c r="J5">
        <v>4</v>
      </c>
      <c r="K5">
        <v>5</v>
      </c>
    </row>
    <row r="6" spans="6:14" x14ac:dyDescent="0.25">
      <c r="F6" s="15">
        <f>-Test!N9-Test!O3</f>
        <v>6102729.0418411233</v>
      </c>
      <c r="G6" s="15">
        <f>Test!$Q$6</f>
        <v>1340561.7554062619</v>
      </c>
      <c r="H6" s="15">
        <f>Test!$Q$6</f>
        <v>1340561.7554062619</v>
      </c>
      <c r="I6" s="15">
        <f>Test!$Q$6</f>
        <v>1340561.7554062619</v>
      </c>
      <c r="J6" s="15">
        <f>Test!$Q$6</f>
        <v>1340561.7554062619</v>
      </c>
      <c r="K6" s="15">
        <f>-Test!N24+SUM(Test!E3:E5)+Test!Q6</f>
        <v>-22997388.516991079</v>
      </c>
    </row>
    <row r="7" spans="6:14" x14ac:dyDescent="0.25">
      <c r="F7" s="35">
        <f>IRR(F6:K6)</f>
        <v>0.18991472137144139</v>
      </c>
    </row>
    <row r="8" spans="6:14" x14ac:dyDescent="0.25">
      <c r="F8" s="38"/>
    </row>
    <row r="12" spans="6:14" x14ac:dyDescent="0.25">
      <c r="N12">
        <v>200</v>
      </c>
    </row>
    <row r="13" spans="6:14" x14ac:dyDescent="0.25">
      <c r="N13">
        <v>27.777777777777779</v>
      </c>
    </row>
    <row r="14" spans="6:14" x14ac:dyDescent="0.25">
      <c r="N14">
        <v>4500</v>
      </c>
    </row>
    <row r="15" spans="6:14" x14ac:dyDescent="0.25">
      <c r="N15" s="3">
        <f>N12*N13*N14</f>
        <v>25000000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Sheet1</vt:lpstr>
      <vt:lpstr>Sheet2</vt:lpstr>
      <vt:lpstr>Sheet3</vt:lpstr>
      <vt:lpstr>Immunized Hedged Portfolio</vt:lpstr>
      <vt:lpstr>Test</vt:lpstr>
      <vt:lpstr>Performance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Tony Trotter</dc:creator>
  <cp:lastModifiedBy>Tony Trotter</cp:lastModifiedBy>
  <dcterms:created xsi:type="dcterms:W3CDTF">2023-03-10T01:16:39Z</dcterms:created>
  <dcterms:modified xsi:type="dcterms:W3CDTF">2023-05-05T04:07:37Z</dcterms:modified>
</cp:coreProperties>
</file>